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ad Me" sheetId="1" state="visible" r:id="rId3"/>
    <sheet name="Inputs" sheetId="2" state="visible" r:id="rId4"/>
    <sheet name="Rates" sheetId="3" state="visible" r:id="rId5"/>
    <sheet name="Cashflow" sheetId="4" state="visible" r:id="rId6"/>
    <sheet name="Depreciation" sheetId="5" state="visible" r:id="rId7"/>
    <sheet name="Negative Gearing" sheetId="6" state="visible" r:id="rId8"/>
    <sheet name="Land Tax" sheetId="7" state="visible" r:id="rId9"/>
    <sheet name="Summary Dashboard" sheetId="8" state="visible" r:id="rId10"/>
  </sheets>
  <definedNames>
    <definedName function="false" hidden="false" name="cf_DebtService" vbProcedure="false">Cashflow!$B$25</definedName>
    <definedName function="false" hidden="false" name="cf_Interest" vbProcedure="false">Cashflow!$B$23</definedName>
    <definedName function="false" hidden="false" name="cf_LoanAmount" vbProcedure="false">Cashflow!$B$3</definedName>
    <definedName function="false" hidden="false" name="cf_LVR" vbProcedure="false">Cashflow!$B$4</definedName>
    <definedName function="false" hidden="false" name="cf_NetRent" vbProcedure="false">Cashflow!$B$10</definedName>
    <definedName function="false" hidden="false" name="cf_NOI" vbProcedure="false">Cashflow!$B$21</definedName>
    <definedName function="false" hidden="false" name="cf_Outgoings" vbProcedure="false">Cashflow!$B$19</definedName>
    <definedName function="false" hidden="false" name="cf_PreTax" vbProcedure="false">Cashflow!$B$27</definedName>
    <definedName function="false" hidden="false" name="cf_Principal" vbProcedure="false">Cashflow!$B$24</definedName>
    <definedName function="false" hidden="false" name="dep_CumDiv43" vbProcedure="false">Depreciation!$B$17</definedName>
    <definedName function="false" hidden="false" name="dep_Div40" vbProcedure="false">Depreciation!$B$13</definedName>
    <definedName function="false" hidden="false" name="dep_Div43" vbProcedure="false">Depreciation!$B$6</definedName>
    <definedName function="false" hidden="false" name="dep_Total" vbProcedure="false">Depreciation!$B$15</definedName>
    <definedName function="false" hidden="false" name="in_ACTAuv" vbProcedure="false">Inputs!$B$49</definedName>
    <definedName function="false" hidden="false" name="in_AgentFees" vbProcedure="false">Inputs!$B$29</definedName>
    <definedName function="false" hidden="false" name="in_BodyCorp" vbProcedure="false">Inputs!$B$28</definedName>
    <definedName function="false" hidden="false" name="in_BuyerStatus" vbProcedure="false">Inputs!$B$7</definedName>
    <definedName function="false" hidden="false" name="in_CapGrowth" vbProcedure="false">Inputs!$B$45</definedName>
    <definedName function="false" hidden="false" name="in_ConstructionYear" vbProcedure="false">Inputs!$B$38</definedName>
    <definedName function="false" hidden="false" name="in_ContractedPreAnchor" vbProcedure="false">Inputs!$B$11</definedName>
    <definedName function="false" hidden="false" name="in_CouncilRates" vbProcedure="false">Inputs!$B$24</definedName>
    <definedName function="false" hidden="false" name="in_DepMethod" vbProcedure="false">Inputs!$B$40</definedName>
    <definedName function="false" hidden="false" name="in_Deposit" vbProcedure="false">Inputs!$B$13</definedName>
    <definedName function="false" hidden="false" name="in_ExpectedSale" vbProcedure="false">Inputs!$B$46</definedName>
    <definedName function="false" hidden="false" name="in_FY" vbProcedure="false">Inputs!$B$34</definedName>
    <definedName function="false" hidden="false" name="in_GrossRent" vbProcedure="false">Inputs!$B$19</definedName>
    <definedName function="false" hidden="false" name="in_HasPHI" vbProcedure="false">Inputs!$B$35</definedName>
    <definedName function="false" hidden="false" name="in_HoldYears" vbProcedure="false">Inputs!$B$44</definedName>
    <definedName function="false" hidden="false" name="in_Insurance" vbProcedure="false">Inputs!$B$26</definedName>
    <definedName function="false" hidden="false" name="in_InterestRate" vbProcedure="false">Inputs!$B$16</definedName>
    <definedName function="false" hidden="false" name="in_IsFHB" vbProcedure="false">Inputs!$B$10</definedName>
    <definedName function="false" hidden="false" name="in_IsForeign" vbProcedure="false">Inputs!$B$9</definedName>
    <definedName function="false" hidden="false" name="in_LandValue" vbProcedure="false">Inputs!$B$47</definedName>
    <definedName function="false" hidden="false" name="in_LoanTerm" vbProcedure="false">Inputs!$B$14</definedName>
    <definedName function="false" hidden="false" name="in_MgmtFee" vbProcedure="false">Inputs!$B$21</definedName>
    <definedName function="false" hidden="false" name="in_OtherIncome" vbProcedure="false">Inputs!$B$33</definedName>
    <definedName function="false" hidden="false" name="in_OtherOutgoings" vbProcedure="false">Inputs!$B$30</definedName>
    <definedName function="false" hidden="false" name="in_PlantCost" vbProcedure="false">Inputs!$B$39</definedName>
    <definedName function="false" hidden="false" name="in_PlantLife" vbProcedure="false">Inputs!$B$41</definedName>
    <definedName function="false" hidden="false" name="in_PlantNew" vbProcedure="false">Inputs!$B$42</definedName>
    <definedName function="false" hidden="false" name="in_PropertyType" vbProcedure="false">Inputs!$B$5</definedName>
    <definedName function="false" hidden="false" name="in_PurchasePrice" vbProcedure="false">Inputs!$B$4</definedName>
    <definedName function="false" hidden="false" name="in_Repairs" vbProcedure="false">Inputs!$B$27</definedName>
    <definedName function="false" hidden="false" name="in_RepaymentType" vbProcedure="false">Inputs!$B$15</definedName>
    <definedName function="false" hidden="false" name="in_SettlementDate" vbProcedure="false">Inputs!$B$8</definedName>
    <definedName function="false" hidden="false" name="in_State" vbProcedure="false">Inputs!$B$6</definedName>
    <definedName function="false" hidden="false" name="in_Val2027" vbProcedure="false">Inputs!$B$48</definedName>
    <definedName function="false" hidden="false" name="in_WaterRates" vbProcedure="false">Inputs!$B$25</definedName>
    <definedName function="false" hidden="false" name="in_WeeksRented" vbProcedure="false">Inputs!$B$20</definedName>
    <definedName function="false" hidden="false" name="lt_Annual" vbProcedure="false">'Land Tax'!$B$18</definedName>
    <definedName function="false" hidden="false" name="ng_AfterTax" vbProcedure="false">'Negative Gearing'!$B$21</definedName>
    <definedName function="false" hidden="false" name="ng_MarginalRate" vbProcedure="false">'Negative Gearing'!$B$15</definedName>
    <definedName function="false" hidden="false" name="ng_ProgBenefit" vbProcedure="false">'Negative Gearing'!$B$36</definedName>
    <definedName function="false" hidden="false" name="ng_Regime" vbProcedure="false">'Negative Gearing'!$B$6</definedName>
    <definedName function="false" hidden="false" name="ng_RingFenced" vbProcedure="false">'Negative Gearing'!$B$18</definedName>
    <definedName function="false" hidden="false" name="ng_TaxBenefit" vbProcedure="false">'Negative Gearing'!$B$17</definedName>
    <definedName function="false" hidden="false" name="ng_TaxLoss" vbProcedure="false">'Negative Gearing'!$B$12</definedName>
    <definedName function="false" hidden="false" name="rt_APRABuffer" vbProcedure="false">Rates!$B$36</definedName>
    <definedName function="false" hidden="false" name="rt_CGTDiscount" vbProcedure="false">Rates!$B$20</definedName>
    <definedName function="false" hidden="false" name="rt_CGTFloor" vbProcedure="false">Rates!$B$21</definedName>
    <definedName function="false" hidden="false" name="rt_CPI" vbProcedure="false">Rates!$B$53</definedName>
    <definedName function="false" hidden="false" name="rt_Div43" vbProcedure="false">Rates!$B$29</definedName>
    <definedName function="false" hidden="false" name="rt_FY25Bracket2" vbProcedure="false">Rates!$B$5</definedName>
    <definedName function="false" hidden="false" name="rt_FY25Bracket3" vbProcedure="false">Rates!$B$6</definedName>
    <definedName function="false" hidden="false" name="rt_FY25Bracket4" vbProcedure="false">Rates!$B$7</definedName>
    <definedName function="false" hidden="false" name="rt_FY25Bracket5" vbProcedure="false">Rates!$B$8</definedName>
    <definedName function="false" hidden="false" name="rt_FY26Bracket2" vbProcedure="false">Rates!$B$9</definedName>
    <definedName function="false" hidden="false" name="rt_FY27Bracket2" vbProcedure="false">Rates!$B$10</definedName>
    <definedName function="false" hidden="false" name="rt_LMITrigger" vbProcedure="false">Rates!$B$37</definedName>
    <definedName function="false" hidden="false" name="rt_MedicareLevy" vbProcedure="false">Rates!$B$13</definedName>
    <definedName function="false" hidden="false" name="rt_NGAnchor" vbProcedure="false">Rates!$B$25</definedName>
    <definedName function="false" hidden="false" name="rt_NSWFHB" vbProcedure="false">Rates!$B$40</definedName>
    <definedName function="false" hidden="false" name="rt_NSWForeign" vbProcedure="false">Rates!$B$41</definedName>
    <definedName function="false" hidden="false" name="rt_NSWForeignLand" vbProcedure="false">Rates!$B$51</definedName>
    <definedName function="false" hidden="false" name="rt_NSWLandBase" vbProcedure="false">Rates!$B$50</definedName>
    <definedName function="false" hidden="false" name="rt_NSWLandRate" vbProcedure="false">Rates!$B$49</definedName>
    <definedName function="false" hidden="false" name="rt_NSWLandThreshold" vbProcedure="false">Rates!$B$48</definedName>
    <definedName function="false" hidden="false" name="rt_RingFence" vbProcedure="false">Rates!$B$26</definedName>
    <definedName function="false" hidden="false" name="rt_VICFHB" vbProcedure="false">Rates!$B$44</definedName>
    <definedName function="false" hidden="false" name="rt_VICForeign" vbProcedure="false">Rates!$B$45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<sst xmlns="http://schemas.openxmlformats.org/spreadsheetml/2006/main" count="306" uniqueCount="280">
  <si>
    <t xml:space="preserve">Plinth Negative Gearing Calculator (Free Edition)</t>
  </si>
  <si>
    <t xml:space="preserve">Version 2026.06.06 (free edition)</t>
  </si>
  <si>
    <t xml:space="preserve">What this free calculator does</t>
  </si>
  <si>
    <t xml:space="preserve">Models Australian residential property investment cashflow, depreciation and negative gearing under both the pre-1-July-2027 and post-1-July-2027 regimes announced in the 12 May 2026 Federal Budget. It automatically classifies your purchase as grandfathered, transition, affected established or new build, and shows your Year 1 tax loss, negative gearing tax benefit and after-tax cashflow.</t>
  </si>
  <si>
    <t xml:space="preserve">What the full edition adds</t>
  </si>
  <si>
    <t xml:space="preserve">The paid Plinth calculator at getplinth.com.au adds the dual-regime capital gains tax engine (1 July 2027 valuation split, CPI indexation and the 30% minimum effective tax rate), stamp duty for all 8 states, a side-by-side scenario comparison (buy now vs 1 July 2027 established vs new build), and full net-return and net-profit figures at sale.</t>
  </si>
  <si>
    <t xml:space="preserve">How to use it</t>
  </si>
  <si>
    <t xml:space="preserve">1. Go to the Inputs tab. Fill in every blue cell.
2. The Rates tab shows the constants used. Override the yellow cells only if you want to model different rates.
3. The Cashflow, Depreciation, Land Tax and Negative Gearing tabs show the working.
4. The Summary Dashboard tab is the page to screenshot.</t>
  </si>
  <si>
    <t xml:space="preserve">What changed in the 2026-27 Budget</t>
  </si>
  <si>
    <t xml:space="preserve">1. Negative gearing limited to new builds from 1 July 2027. Properties owned at 7:30pm AEST on 12 May 2026 are grandfathered.
2. The 50% CGT discount is replaced from 1 July 2027 with cost base indexation plus a 30% minimum effective tax rate on real gains (modelled in the full edition).
3. Stage 3+ Phase 2: the second marginal bracket drops from 16% to 15% on 1 July 2026; legislated Phase 3 drops it to 14% on 1 July 2027.
4. Help to Buy income caps lifted: singles $100k, couples and single parents $160k.</t>
  </si>
  <si>
    <t xml:space="preserve">Worked example (default inputs)</t>
  </si>
  <si>
    <t xml:space="preserve">$850,000 established Sydney apartment, 80% LVR investor loan at 6.7%, $42,000 annual rent, $110,000 other income, settle 13 May 2026, plant not newly installed. Result: classified as Transition (old negative gearing rules until 30 June 2027, then ring-fenced). Because the property is established and bought after 9 May 2017 with second-hand plant, Div 40 is $0 (only Div 43 applies). Year 1 tax loss about -$33,665, negative gearing tax benefit about $10,773, after-tax cashflow about -$17,237 (about -$332 per week).</t>
  </si>
  <si>
    <t xml:space="preserve">Common mistakes</t>
  </si>
  <si>
    <t xml:space="preserve">1. Settlement date in the wrong format. Use YYYY-MM-DD (e.g. 2026-05-13) or a real Excel date.
2. State code in the wrong format. Use the uppercase code (NSW, VIC, QLD, etc.) exactly.
3. TRUE/FALSE inputs (foreign buyer, contracted-before-anchor, plant-newly-installed) must be TRUE or FALSE in capitals.
4. SMSF and main-residence (PPR) are not modelled and trigger a warning; first home buyer concessions are not modelled. This is an individual residential-investor tool.
5. The capital-growth, expected-sale and 1 July 2027 valuation inputs are only used by the full edition CGT engine, so they have no effect here.</t>
  </si>
  <si>
    <t xml:space="preserve">States supported</t>
  </si>
  <si>
    <t xml:space="preserve">Land tax: NSW, VIC, QLD, WA, SA, TAS, ACT all bracket-precise (2025-26 scales); NT has no land tax. Foreign-owner land tax surcharge encoded for NSW, VIC, QLD, SA, TAS and ACT (WA levies none).</t>
  </si>
  <si>
    <t xml:space="preserve">Cell colour key</t>
  </si>
  <si>
    <t xml:space="preserve">BLUE cells in the Inputs tab: the only cells you need to touch.
YELLOW cells in the Rates tab: tax rates and thresholds (advanced overrides only).
All other cells are formulas. Leave them alone.</t>
  </si>
  <si>
    <t xml:space="preserve">Disclaimer</t>
  </si>
  <si>
    <t xml:space="preserve">This calculator is provided for general information only. It is not financial, tax, legal or investment advice. The estimates are illustrative and depend entirely on the inputs you provide and the default assumptions stated. Default assumptions may not reflect your circumstances. The outcome of any real investment can differ significantly. You should obtain advice from a registered tax agent or a holder of an Australian Financial Services Licence (AFSL) before making any decision.</t>
  </si>
  <si>
    <t xml:space="preserve">Inputs</t>
  </si>
  <si>
    <t xml:space="preserve">Acquisition</t>
  </si>
  <si>
    <t xml:space="preserve">Purchase price</t>
  </si>
  <si>
    <t xml:space="preserve">Contract price.</t>
  </si>
  <si>
    <t xml:space="preserve">Property type (established/newBuild/offThePlan/vacantLand/commercial)</t>
  </si>
  <si>
    <t xml:space="preserve">established</t>
  </si>
  <si>
    <t xml:space="preserve">Drives NG and CGT regime. Only choose newBuild/offThePlan if the dwelling genuinely ADDS to housing supply (new construction or net additional dwellings). Substantial renovations / knock-down rebuilds without extra dwellings may not qualify.</t>
  </si>
  <si>
    <t xml:space="preserve">State (NSW/VIC/QLD/WA/SA/TAS/ACT/NT)</t>
  </si>
  <si>
    <t xml:space="preserve">NSW</t>
  </si>
  <si>
    <t xml:space="preserve">Drives stamp duty and land tax schedules.</t>
  </si>
  <si>
    <t xml:space="preserve">Buyer status (investor)</t>
  </si>
  <si>
    <t xml:space="preserve">investor</t>
  </si>
  <si>
    <t xml:space="preserve">Individual residential-investor calculator. SMSF, main-residence (PPR) and first-home-buyer concessions are NOT modelled.</t>
  </si>
  <si>
    <t xml:space="preserve">Settlement date</t>
  </si>
  <si>
    <t xml:space="preserve">2026-05-13</t>
  </si>
  <si>
    <t xml:space="preserve">Grandfathering anchor is 12 May 2026 19:30 AEST.</t>
  </si>
  <si>
    <t xml:space="preserve">Is foreign buyer?</t>
  </si>
  <si>
    <t xml:space="preserve">FALSE</t>
  </si>
  <si>
    <t xml:space="preserve">Drives foreign surcharge logic.</t>
  </si>
  <si>
    <t xml:space="preserve">Is first home buyer? (not modelled - leave FALSE)</t>
  </si>
  <si>
    <t xml:space="preserve">First home buyer stamp duty concessions are NOT modelled in this investor version. Leave FALSE.</t>
  </si>
  <si>
    <t xml:space="preserve">Held / contracted before 7:30pm AEST 12 May 2026? (TRUE/FALSE)</t>
  </si>
  <si>
    <t xml:space="preserve">Grandfathering anchor is a moment in time, not just the date. Set TRUE if your contract was signed before then.</t>
  </si>
  <si>
    <t xml:space="preserve">Loan</t>
  </si>
  <si>
    <t xml:space="preserve">Deposit amount</t>
  </si>
  <si>
    <t xml:space="preserve">Deposit cash plus any equity contribution.</t>
  </si>
  <si>
    <t xml:space="preserve">Loan term (years)</t>
  </si>
  <si>
    <t xml:space="preserve">Repayment type (PI/IO)</t>
  </si>
  <si>
    <t xml:space="preserve">PI</t>
  </si>
  <si>
    <t xml:space="preserve">Interest rate (% p.a.)</t>
  </si>
  <si>
    <t xml:space="preserve">Default: RBA cash 4.35% + 2.30pp investor spread.</t>
  </si>
  <si>
    <t xml:space="preserve">Rental income</t>
  </si>
  <si>
    <t xml:space="preserve">Annual gross rent</t>
  </si>
  <si>
    <t xml:space="preserve">User input. Default fallback: median yield * price.</t>
  </si>
  <si>
    <t xml:space="preserve">Weeks rented per year</t>
  </si>
  <si>
    <t xml:space="preserve">Default 50; 2 weeks vacancy + transition assumed.</t>
  </si>
  <si>
    <t xml:space="preserve">Property management fee (%)</t>
  </si>
  <si>
    <t xml:space="preserve">Default 7%.</t>
  </si>
  <si>
    <t xml:space="preserve">Annual outgoings</t>
  </si>
  <si>
    <t xml:space="preserve">Council rates</t>
  </si>
  <si>
    <t xml:space="preserve">Water rates</t>
  </si>
  <si>
    <t xml:space="preserve">Building insurance</t>
  </si>
  <si>
    <t xml:space="preserve">Repairs and maintenance</t>
  </si>
  <si>
    <t xml:space="preserve">Body corporate / strata</t>
  </si>
  <si>
    <t xml:space="preserve">Set 0 for houses.</t>
  </si>
  <si>
    <t xml:space="preserve">Agent letting fees</t>
  </si>
  <si>
    <t xml:space="preserve">First-week letting + relets.</t>
  </si>
  <si>
    <t xml:space="preserve">Other outgoings</t>
  </si>
  <si>
    <t xml:space="preserve">Tax position</t>
  </si>
  <si>
    <t xml:space="preserve">Taxable income (other sources)</t>
  </si>
  <si>
    <t xml:space="preserve">PAYG + business income before this property.</t>
  </si>
  <si>
    <t xml:space="preserve">Financial year (FY25_26/FY26_27/FY27_28)</t>
  </si>
  <si>
    <t xml:space="preserve">FY26_27</t>
  </si>
  <si>
    <t xml:space="preserve">Drives bracket selection.</t>
  </si>
  <si>
    <t xml:space="preserve">Note: Medicare Levy Surcharge (MLS) is NOT modelled</t>
  </si>
  <si>
    <t xml:space="preserve">If you have no private hospital cover and earn above the MLS thresholds, your actual tax could be ~1 to 1.5% higher.</t>
  </si>
  <si>
    <t xml:space="preserve">Depreciation</t>
  </si>
  <si>
    <t xml:space="preserve">Construction commenced year</t>
  </si>
  <si>
    <t xml:space="preserve">Drives Div 43 eligibility (post 15 Sep 1987 = 2.5%). Year-only is an estimate; exact eligibility needs the construction commencement date and a QS schedule.</t>
  </si>
  <si>
    <t xml:space="preserve">Plant and equipment cost</t>
  </si>
  <si>
    <t xml:space="preserve">Brand new only if established second-hand.</t>
  </si>
  <si>
    <t xml:space="preserve">Depreciation method (primeCost/diminishingValue)</t>
  </si>
  <si>
    <t xml:space="preserve">diminishingValue</t>
  </si>
  <si>
    <t xml:space="preserve">Plant effective life (years, weighted average)</t>
  </si>
  <si>
    <t xml:space="preserve">Default 10. Carpet 8 / oven 12 / AC 15 etc.</t>
  </si>
  <si>
    <t xml:space="preserve">Plant newly purchased / installed by you? (TRUE/FALSE)</t>
  </si>
  <si>
    <t xml:space="preserve">Second-hand plant in an established home bought after 9 May 2017 is NOT deductible. TRUE only for new assets you install.</t>
  </si>
  <si>
    <t xml:space="preserve">Hold period and exit</t>
  </si>
  <si>
    <t xml:space="preserve">Held for years</t>
  </si>
  <si>
    <t xml:space="preserve">Annual capital growth (%)</t>
  </si>
  <si>
    <t xml:space="preserve">Default: 30-year national capital city average.</t>
  </si>
  <si>
    <t xml:space="preserve">Expected sale price (blank = compute)</t>
  </si>
  <si>
    <t xml:space="preserve">Leave blank to compute from growth.</t>
  </si>
  <si>
    <t xml:space="preserve">Land value at purchase</t>
  </si>
  <si>
    <t xml:space="preserve">Drives land tax. State revenue offices publish.</t>
  </si>
  <si>
    <t xml:space="preserve">Value at 1 July 2027 (blank = compute from growth)</t>
  </si>
  <si>
    <t xml:space="preserve">Optional. Leave blank to use the Budget growth-rate apportionment. Enter a market valuation if you have one.</t>
  </si>
  <si>
    <t xml:space="preserve">ACT 5-year AUV (blank = use land value)</t>
  </si>
  <si>
    <t xml:space="preserve">ACT land tax uses a 5-year Average Unimproved Value. Enter it from your rates notice, or leave blank to use land value.</t>
  </si>
  <si>
    <t xml:space="preserve">Rates and constants (version 2026.05.25e)</t>
  </si>
  <si>
    <t xml:space="preserve">Federal tax brackets</t>
  </si>
  <si>
    <t xml:space="preserve">FY25-26 bracket 1 max ($)</t>
  </si>
  <si>
    <t xml:space="preserve">Tax-free threshold</t>
  </si>
  <si>
    <t xml:space="preserve">FY25-26 bracket 2 rate</t>
  </si>
  <si>
    <t xml:space="preserve">$18,201 - $45,000</t>
  </si>
  <si>
    <t xml:space="preserve">FY25-26 bracket 3 rate</t>
  </si>
  <si>
    <t xml:space="preserve">$45,001 - $135,000</t>
  </si>
  <si>
    <t xml:space="preserve">FY25-26 bracket 4 rate</t>
  </si>
  <si>
    <t xml:space="preserve">$135,001 - $190,000</t>
  </si>
  <si>
    <t xml:space="preserve">FY25-26 bracket 5 rate</t>
  </si>
  <si>
    <t xml:space="preserve">$190,001 +</t>
  </si>
  <si>
    <t xml:space="preserve">FY26-27 bracket 2 rate</t>
  </si>
  <si>
    <t xml:space="preserve">Stage 3+ Phase 2 from 1 Jul 2026</t>
  </si>
  <si>
    <t xml:space="preserve">FY27-28 bracket 2 rate</t>
  </si>
  <si>
    <t xml:space="preserve">Stage 3+ Phase 3 legislated from 1 Jul 2027</t>
  </si>
  <si>
    <t xml:space="preserve">Medicare</t>
  </si>
  <si>
    <t xml:space="preserve">Medicare levy</t>
  </si>
  <si>
    <t xml:space="preserve">Standard rate</t>
  </si>
  <si>
    <t xml:space="preserve">Single no-levy threshold</t>
  </si>
  <si>
    <t xml:space="preserve">Lifted from $27,222 retroactive to 1 Jul 2025</t>
  </si>
  <si>
    <t xml:space="preserve">Single full-levy threshold</t>
  </si>
  <si>
    <t xml:space="preserve">MLS Tier 1 threshold (single)</t>
  </si>
  <si>
    <t xml:space="preserve">MLS Tier 1 rate</t>
  </si>
  <si>
    <t xml:space="preserve">CGT</t>
  </si>
  <si>
    <t xml:space="preserve">CGT discount (pre 1 Jul 2027)</t>
  </si>
  <si>
    <t xml:space="preserve">Individuals / trusts / partnerships, &gt;12 months</t>
  </si>
  <si>
    <t xml:space="preserve">CGT effective rate floor (post 1 Jul 2027)</t>
  </si>
  <si>
    <t xml:space="preserve">Real gain * 30% floor</t>
  </si>
  <si>
    <t xml:space="preserve">CGT transition date</t>
  </si>
  <si>
    <t xml:space="preserve">2027-07-01</t>
  </si>
  <si>
    <t xml:space="preserve">Hard cutover for new method</t>
  </si>
  <si>
    <t xml:space="preserve">Negative gearing</t>
  </si>
  <si>
    <t xml:space="preserve">Grandfathering anchor</t>
  </si>
  <si>
    <t xml:space="preserve">2026-05-12 19:30 AEST</t>
  </si>
  <si>
    <t xml:space="preserve">Properties owned at this moment unaffected</t>
  </si>
  <si>
    <t xml:space="preserve">Ring-fence start</t>
  </si>
  <si>
    <t xml:space="preserve">Established stock acquired after this date is ring-fenced</t>
  </si>
  <si>
    <t xml:space="preserve">Div 43 residential rate</t>
  </si>
  <si>
    <t xml:space="preserve">Construction commenced after 15 Sep 1987</t>
  </si>
  <si>
    <t xml:space="preserve">Div 43 effective life (years)</t>
  </si>
  <si>
    <t xml:space="preserve">Div 40 effective life default</t>
  </si>
  <si>
    <t xml:space="preserve">Weighted average for residential</t>
  </si>
  <si>
    <t xml:space="preserve">Lending</t>
  </si>
  <si>
    <t xml:space="preserve">RBA cash rate (May 2026)</t>
  </si>
  <si>
    <t xml:space="preserve">Poll rba.gov.au monthly</t>
  </si>
  <si>
    <t xml:space="preserve">Investor variable rate (default)</t>
  </si>
  <si>
    <t xml:space="preserve">RBA cash + 2.30pp spread</t>
  </si>
  <si>
    <t xml:space="preserve">APRA serviceability buffer</t>
  </si>
  <si>
    <t xml:space="preserve">Lenders assess at rate + 3pp</t>
  </si>
  <si>
    <t xml:space="preserve">LMI LVR trigger</t>
  </si>
  <si>
    <t xml:space="preserve">Stamp duty - NSW</t>
  </si>
  <si>
    <t xml:space="preserve">NSW FHB exemption up to</t>
  </si>
  <si>
    <t xml:space="preserve">NSW foreign purchaser surcharge</t>
  </si>
  <si>
    <t xml:space="preserve">Stamp duty - VIC</t>
  </si>
  <si>
    <t xml:space="preserve">VIC FHB exemption up to</t>
  </si>
  <si>
    <t xml:space="preserve">VIC foreign purchaser surcharge</t>
  </si>
  <si>
    <t xml:space="preserve">Land tax - NSW</t>
  </si>
  <si>
    <t xml:space="preserve">NSW land tax general threshold</t>
  </si>
  <si>
    <t xml:space="preserve">NSW land tax general rate</t>
  </si>
  <si>
    <t xml:space="preserve">Above threshold</t>
  </si>
  <si>
    <t xml:space="preserve">NSW land tax base</t>
  </si>
  <si>
    <t xml:space="preserve">Flat addition once over threshold</t>
  </si>
  <si>
    <t xml:space="preserve">NSW foreign owner land tax surcharge</t>
  </si>
  <si>
    <t xml:space="preserve">No threshold</t>
  </si>
  <si>
    <t xml:space="preserve">CPI annual rate (default for CGT indexation)</t>
  </si>
  <si>
    <t xml:space="preserve">Override to model different CPI; ABS publishes quarterly.</t>
  </si>
  <si>
    <t xml:space="preserve">Source notes (schedules embedded in formulas; verify before relying)</t>
  </si>
  <si>
    <t xml:space="preserve">Source URL</t>
  </si>
  <si>
    <t xml:space="preserve">Federal tax brackets &amp; Stage 3+ phases</t>
  </si>
  <si>
    <t xml:space="preserve">ATO / 2025-26 &amp; 2026-27 Federal Budget</t>
  </si>
  <si>
    <t xml:space="preserve">https://budget.gov.au/content/04-tax-reform.htm</t>
  </si>
  <si>
    <t xml:space="preserve">Medicare levy &amp; low-income thresholds</t>
  </si>
  <si>
    <t xml:space="preserve">ATO; 2026 Budget (2.9% uplift, 1 Jul 2025)</t>
  </si>
  <si>
    <t xml:space="preserve">https://www.ato.gov.au/individuals-and-families/medicare-and-private-health-insurance/medicare-levy/medicare-levy-reduction/medicare-levy-reduction-for-low-income-earners</t>
  </si>
  <si>
    <t xml:space="preserve">CGT discount / 30% floor / 1 Jul 2027 cutover</t>
  </si>
  <si>
    <t xml:space="preserve">2026 Federal Budget housing measures</t>
  </si>
  <si>
    <t xml:space="preserve">NSW transfer duty &amp; land tax</t>
  </si>
  <si>
    <t xml:space="preserve">Revenue NSW, 2025-26 indexed scale</t>
  </si>
  <si>
    <t xml:space="preserve">https://www.revenue.nsw.gov.au/taxes-duties-levies-royalties/transfer-duty</t>
  </si>
  <si>
    <t xml:space="preserve">VIC duty &amp; land tax (incl COVID Debt Levy)</t>
  </si>
  <si>
    <t xml:space="preserve">State Revenue Office Victoria, 2025-26</t>
  </si>
  <si>
    <t xml:space="preserve">https://www.sro.vic.gov.au/</t>
  </si>
  <si>
    <t xml:space="preserve">QLD transfer duty &amp; land tax</t>
  </si>
  <si>
    <t xml:space="preserve">Queensland Revenue Office, 2025-26</t>
  </si>
  <si>
    <t xml:space="preserve">https://qro.qld.gov.au/</t>
  </si>
  <si>
    <t xml:space="preserve">WA duty &amp; land tax (no foreign land surcharge; MRIT separate)</t>
  </si>
  <si>
    <t xml:space="preserve">RevenueWA / wa.gov.au, 2025-26</t>
  </si>
  <si>
    <t xml:space="preserve">https://www.wa.gov.au/organisation/department-of-treasury-and-finance/land-tax-assessment</t>
  </si>
  <si>
    <t xml:space="preserve">SA duty &amp; land tax</t>
  </si>
  <si>
    <t xml:space="preserve">RevenueSA, 2025-26</t>
  </si>
  <si>
    <t xml:space="preserve">https://www.revenuesa.sa.gov.au/</t>
  </si>
  <si>
    <t xml:space="preserve">TAS duty &amp; land tax</t>
  </si>
  <si>
    <t xml:space="preserve">State Revenue Office Tasmania, 2025-26</t>
  </si>
  <si>
    <t xml:space="preserve">https://www.sro.tas.gov.au/</t>
  </si>
  <si>
    <t xml:space="preserve">ACT duty &amp; land tax ($1,693 fixed + AUV scale)</t>
  </si>
  <si>
    <t xml:space="preserve">ACT Revenue Office, 2025-26</t>
  </si>
  <si>
    <t xml:space="preserve">https://www.revenue.act.gov.au/</t>
  </si>
  <si>
    <t xml:space="preserve">NT transfer duty (no land tax)</t>
  </si>
  <si>
    <t xml:space="preserve">Territory Revenue Office, 2025-26</t>
  </si>
  <si>
    <t xml:space="preserve">https://treasury.nt.gov.au/dtf/territory-revenue-office</t>
  </si>
  <si>
    <t xml:space="preserve">Cashflow (Year 1, indicative)</t>
  </si>
  <si>
    <t xml:space="preserve">Loan amount</t>
  </si>
  <si>
    <t xml:space="preserve">LVR</t>
  </si>
  <si>
    <t xml:space="preserve">Triggers LMI?</t>
  </si>
  <si>
    <t xml:space="preserve">Gross rent (full year)</t>
  </si>
  <si>
    <t xml:space="preserve">Rental adjustment for vacancy</t>
  </si>
  <si>
    <t xml:space="preserve">Management fee</t>
  </si>
  <si>
    <t xml:space="preserve">Net rent (effective)</t>
  </si>
  <si>
    <t xml:space="preserve">Body corporate</t>
  </si>
  <si>
    <t xml:space="preserve">Total outgoings</t>
  </si>
  <si>
    <t xml:space="preserve">Annual land tax</t>
  </si>
  <si>
    <t xml:space="preserve">Net operating income</t>
  </si>
  <si>
    <t xml:space="preserve">Annual interest (IO basis approx)</t>
  </si>
  <si>
    <t xml:space="preserve">Annual principal (PI Y1 approx)</t>
  </si>
  <si>
    <t xml:space="preserve">Total debt service Y1</t>
  </si>
  <si>
    <t xml:space="preserve">Pre-tax cashflow</t>
  </si>
  <si>
    <t xml:space="preserve">Pre-tax cashflow per week</t>
  </si>
  <si>
    <t xml:space="preserve">Depreciation - Division 43 + Division 40</t>
  </si>
  <si>
    <t xml:space="preserve">Construction value – ESTIMATE FOR FORECASTING ONLY (purchase price less land value; not a quantity surveyor figure)</t>
  </si>
  <si>
    <t xml:space="preserve">Div 43 rate</t>
  </si>
  <si>
    <t xml:space="preserve">Div 43 eligible? (post 15 Sep 1987)</t>
  </si>
  <si>
    <t xml:space="preserve">Annual Div 43 deduction (Year 1)</t>
  </si>
  <si>
    <t xml:space="preserve">Plant effective life (years)</t>
  </si>
  <si>
    <t xml:space="preserve">Second-hand residential plant restriction applies?</t>
  </si>
  <si>
    <t xml:space="preserve">Annual Div 40 deduction Year 1 (prime cost)</t>
  </si>
  <si>
    <t xml:space="preserve">Annual Div 40 deduction Year 1 (diminishing value)</t>
  </si>
  <si>
    <t xml:space="preserve">Selected Div 40 deduction Year 1 (0 if second-hand restriction applies)</t>
  </si>
  <si>
    <t xml:space="preserve">Total Year 1 depreciation</t>
  </si>
  <si>
    <t xml:space="preserve">Cumulative Div 43 over hold period</t>
  </si>
  <si>
    <t xml:space="preserve">Note: cumulative Div 43 reduces CGT cost base on sale</t>
  </si>
  <si>
    <t xml:space="preserve">Div 43 must be based on the original construction cost per a quantity surveyor report; this uses building value (price less land) as a forecasting estimate only. Div 40 plant is deductible only if it is NEW plant you purchase and install (set the "Plant newly installed" input to TRUE); second-hand plant in an established post-9-May-2017 purchase is not deductible. Div 40 balancing adjustments on disposal are NOT modelled.</t>
  </si>
  <si>
    <t xml:space="preserve">Negative Gearing - dual regime</t>
  </si>
  <si>
    <t xml:space="preserve">NG anchor (12 May 2026 19:30 AEST)</t>
  </si>
  <si>
    <t xml:space="preserve">Regime classification</t>
  </si>
  <si>
    <t xml:space="preserve">Net operating income (rent less cash operating costs)</t>
  </si>
  <si>
    <t xml:space="preserve">Interest</t>
  </si>
  <si>
    <t xml:space="preserve">Div 43 deduction</t>
  </si>
  <si>
    <t xml:space="preserve">Div 40 deduction</t>
  </si>
  <si>
    <t xml:space="preserve">Tax loss (negative = loss)</t>
  </si>
  <si>
    <t xml:space="preserve">Other income (PAYG + business)</t>
  </si>
  <si>
    <t xml:space="preserve">Marginal rate on last dollar (display only; benefit now uses progressive method below)</t>
  </si>
  <si>
    <t xml:space="preserve">Tax benefit (NG-retained regimes; 0 if ring-fenced or unsupported buyer status)</t>
  </si>
  <si>
    <t xml:space="preserve">Loss ring-fenced (if affected established)</t>
  </si>
  <si>
    <t xml:space="preserve">Cumulative ring-fenced losses over hold (ILLUSTRATIVE ONLY: assumes the same annual loss every year, no intervening rental profit to absorb them, and that all carried losses remain available to offset a future residential capital gain. Not a year-by-year schedule.)</t>
  </si>
  <si>
    <t xml:space="preserve">After-tax cashflow (Year 1)</t>
  </si>
  <si>
    <t xml:space="preserve">After-tax cashflow per week</t>
  </si>
  <si>
    <t xml:space="preserve">How the regime is classified: SMSF buyer = excluded from the NG changes (retained). Commercial property = existing NG rules retained. Otherwise residential: held/contracted before 7:30pm 12 May 2026 (or settled on/before 12 May 2026) = grandfathered (old rules forever); settled 13 May 2026 to 30 Jun 2027 = transition (old rules until 30 Jun 2027, then ring-fenced); settled from 1 Jul 2027 on an established home = ring-fenced (losses cannot offset wage income, they carry forward); settled from 1 Jul 2027 on a new build or off-the-plan = NG retained indefinitely.</t>
  </si>
  <si>
    <t xml:space="preserve">Progressive tax benefit working (replaces flat marginal-rate method)</t>
  </si>
  <si>
    <t xml:space="preserve">Bracket 2 rate (FY-aware)</t>
  </si>
  <si>
    <t xml:space="preserve">Taxable income before loss</t>
  </si>
  <si>
    <t xml:space="preserve">Taxable income after applying loss</t>
  </si>
  <si>
    <t xml:space="preserve">Tax (incl 2% Medicare) on income before loss</t>
  </si>
  <si>
    <t xml:space="preserve">Tax (incl 2% Medicare) on income after loss</t>
  </si>
  <si>
    <t xml:space="preserve">Progressive tax benefit (tax before − tax after)</t>
  </si>
  <si>
    <t xml:space="preserve">Land Tax - annual (all 8 states, foreign surcharges encoded)</t>
  </si>
  <si>
    <t xml:space="preserve">State</t>
  </si>
  <si>
    <t xml:space="preserve">Land value</t>
  </si>
  <si>
    <t xml:space="preserve">ACT: Average Unimproved Value used (AUV input if given, else land value)</t>
  </si>
  <si>
    <t xml:space="preserve">NSW land tax</t>
  </si>
  <si>
    <t xml:space="preserve">VIC land tax (excl COVID Debt Levy)</t>
  </si>
  <si>
    <t xml:space="preserve">QLD land tax (individual threshold)</t>
  </si>
  <si>
    <t xml:space="preserve">WA land tax</t>
  </si>
  <si>
    <t xml:space="preserve">SA land tax</t>
  </si>
  <si>
    <t xml:space="preserve">TAS land tax</t>
  </si>
  <si>
    <t xml:space="preserve">ACT land tax (fixed charge + variable on land value)</t>
  </si>
  <si>
    <t xml:space="preserve">NT land tax</t>
  </si>
  <si>
    <t xml:space="preserve">Selected state base land tax</t>
  </si>
  <si>
    <t xml:space="preserve">Foreign owner surcharge</t>
  </si>
  <si>
    <t xml:space="preserve">Annual land tax payable (TOTAL)</t>
  </si>
  <si>
    <t xml:space="preserve">Notes: WA metro Perth properties also pay Metropolitan Region Improvement Tax (MRIT) at 0.14% of taxable value above $300,000, which is not included here. ACT land tax is assessed on the 5-year Average Unimproved Value (AUV); this uses your entered land value as a proxy. Foreign-owner land tax surcharges are indicative – verify with the relevant state revenue office.</t>
  </si>
  <si>
    <t xml:space="preserve">Plinth - your negative gearing position at a glance</t>
  </si>
  <si>
    <t xml:space="preserve">NG regime classification</t>
  </si>
  <si>
    <t xml:space="preserve">Year 1 net rent</t>
  </si>
  <si>
    <t xml:space="preserve">Year 1 interest</t>
  </si>
  <si>
    <t xml:space="preserve">Year 1 total depreciation</t>
  </si>
  <si>
    <t xml:space="preserve">Year 1 tax loss</t>
  </si>
  <si>
    <t xml:space="preserve">Year 1 tax benefit</t>
  </si>
  <si>
    <t xml:space="preserve">Year 1 after-tax cashflow</t>
  </si>
  <si>
    <t xml:space="preserve">Year 1 after-tax cashflow/week</t>
  </si>
  <si>
    <t xml:space="preserve">Want the capital gains tax result at sale, stamp duty and a side-by-side scenario comparison? The full Plinth calculator is at getplinth.com.au</t>
  </si>
</sst>
</file>

<file path=xl/styles.xml><?xml version="1.0" encoding="utf-8"?>
<styleSheet xmlns="http://schemas.openxmlformats.org/spreadsheetml/2006/main">
  <numFmts count="7">
    <numFmt numFmtId="164" formatCode="General"/>
    <numFmt numFmtId="165" formatCode="\$#,##0;&quot;($&quot;#,##0\);\-"/>
    <numFmt numFmtId="166" formatCode="#,##0;\(#,##0\);\-"/>
    <numFmt numFmtId="167" formatCode="0.0%;\(0.0%\);\-"/>
    <numFmt numFmtId="168" formatCode="0;\(0\);\-"/>
    <numFmt numFmtId="169" formatCode="0.00%;\(0.00%\);\-"/>
    <numFmt numFmtId="170" formatCode="dd\-mmm\-yyyy"/>
  </numFmts>
  <fonts count="15">
    <font>
      <sz val="11"/>
      <color theme="1"/>
      <name val="Calibri"/>
      <family val="2"/>
      <charset val="1"/>
    </font>
    <font>
      <sz val="10"/>
      <name val="Arial"/>
      <family val="0"/>
    </font>
    <font>
      <sz val="10"/>
      <name val="Arial"/>
      <family val="0"/>
    </font>
    <font>
      <sz val="10"/>
      <name val="Arial"/>
      <family val="0"/>
    </font>
    <font>
      <b val="true"/>
      <sz val="18"/>
      <color rgb="FF1B4332"/>
      <name val="Arial"/>
      <family val="0"/>
      <charset val="1"/>
    </font>
    <font>
      <b val="true"/>
      <sz val="11"/>
      <color rgb="FF000000"/>
      <name val="Arial"/>
      <family val="0"/>
      <charset val="1"/>
    </font>
    <font>
      <b val="true"/>
      <sz val="14"/>
      <color rgb="FFFFFFFF"/>
      <name val="Arial"/>
      <family val="0"/>
      <charset val="1"/>
    </font>
    <font>
      <b val="true"/>
      <sz val="11"/>
      <name val="Cambria"/>
      <family val="0"/>
      <charset val="1"/>
    </font>
    <font>
      <sz val="10"/>
      <name val="Arial"/>
      <family val="0"/>
      <charset val="1"/>
    </font>
    <font>
      <sz val="10"/>
      <color rgb="FF0000FF"/>
      <name val="Arial"/>
      <family val="0"/>
      <charset val="1"/>
    </font>
    <font>
      <i val="true"/>
      <sz val="9"/>
      <color rgb="FF666666"/>
      <name val="Arial"/>
      <family val="0"/>
      <charset val="1"/>
    </font>
    <font>
      <sz val="10"/>
      <color rgb="FF000000"/>
      <name val="Arial"/>
      <family val="0"/>
      <charset val="1"/>
    </font>
    <font>
      <sz val="10"/>
      <color rgb="FF008000"/>
      <name val="Arial"/>
      <family val="0"/>
      <charset val="1"/>
    </font>
    <font>
      <b val="true"/>
      <sz val="11"/>
      <name val="Arial"/>
      <family val="0"/>
      <charset val="1"/>
    </font>
    <font>
      <b val="true"/>
      <sz val="11"/>
      <color rgb="FF1B4332"/>
      <name val="Arial"/>
      <family val="0"/>
      <charset val="1"/>
    </font>
  </fonts>
  <fills count="7">
    <fill>
      <patternFill patternType="none"/>
    </fill>
    <fill>
      <patternFill patternType="gray125"/>
    </fill>
    <fill>
      <patternFill patternType="solid">
        <fgColor rgb="FF1B4332"/>
        <bgColor rgb="FF333300"/>
      </patternFill>
    </fill>
    <fill>
      <patternFill patternType="solid">
        <fgColor rgb="FFEDEDED"/>
        <bgColor rgb="FFE8F0E8"/>
      </patternFill>
    </fill>
    <fill>
      <patternFill patternType="solid">
        <fgColor rgb="FFDCE6F1"/>
        <bgColor rgb="FFE8F0E8"/>
      </patternFill>
    </fill>
    <fill>
      <patternFill patternType="solid">
        <fgColor rgb="FFFFF2CC"/>
        <bgColor rgb="FFEDEDED"/>
      </patternFill>
    </fill>
    <fill>
      <patternFill patternType="solid">
        <fgColor rgb="FFE8F0E8"/>
        <bgColor rgb="FFEDEDED"/>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6" fillId="2" borderId="0" xfId="0" applyFont="true" applyBorder="true" applyAlignment="true" applyProtection="false">
      <alignment horizontal="general" vertical="bottom" textRotation="0" wrapText="false" indent="0" shrinkToFit="false"/>
      <protection locked="true" hidden="false"/>
    </xf>
    <xf numFmtId="164" fontId="7" fillId="3" borderId="0" xfId="0" applyFont="true" applyBorder="false" applyAlignment="true" applyProtection="false">
      <alignment horizontal="general" vertical="bottom" textRotation="0" wrapText="false" indent="0" shrinkToFit="false"/>
      <protection locked="true" hidden="false"/>
    </xf>
    <xf numFmtId="164" fontId="0" fillId="3" borderId="0" xfId="0" applyFont="fals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5" fontId="9" fillId="4"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9" fillId="4" borderId="0" xfId="0" applyFont="true" applyBorder="false" applyAlignment="true" applyProtection="false">
      <alignment horizontal="general" vertical="bottom" textRotation="0" wrapText="false" indent="0" shrinkToFit="false"/>
      <protection locked="true" hidden="false"/>
    </xf>
    <xf numFmtId="166" fontId="9" fillId="4" borderId="0" xfId="0" applyFont="true" applyBorder="false" applyAlignment="true" applyProtection="false">
      <alignment horizontal="general" vertical="bottom" textRotation="0" wrapText="false" indent="0" shrinkToFit="false"/>
      <protection locked="true" hidden="false"/>
    </xf>
    <xf numFmtId="167" fontId="9" fillId="4" borderId="0" xfId="0" applyFont="true" applyBorder="false" applyAlignment="true" applyProtection="false">
      <alignment horizontal="general" vertical="bottom" textRotation="0" wrapText="false" indent="0" shrinkToFit="false"/>
      <protection locked="true" hidden="false"/>
    </xf>
    <xf numFmtId="168" fontId="9" fillId="4" borderId="0" xfId="0" applyFont="true" applyBorder="false" applyAlignment="tru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6" fontId="9" fillId="5"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9" fontId="9" fillId="5" borderId="0" xfId="0" applyFont="true" applyBorder="false" applyAlignment="true" applyProtection="false">
      <alignment horizontal="general" vertical="bottom" textRotation="0" wrapText="false" indent="0" shrinkToFit="false"/>
      <protection locked="true" hidden="false"/>
    </xf>
    <xf numFmtId="165" fontId="9" fillId="5"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false" indent="0" shrinkToFit="false"/>
      <protection locked="true" hidden="false"/>
    </xf>
    <xf numFmtId="164" fontId="0" fillId="5" borderId="0" xfId="0" applyFont="false" applyBorder="false" applyAlignment="true" applyProtection="false">
      <alignment horizontal="general" vertical="bottom" textRotation="0" wrapText="false" indent="0" shrinkToFit="false"/>
      <protection locked="true" hidden="false"/>
    </xf>
    <xf numFmtId="165" fontId="11" fillId="0" borderId="0" xfId="0" applyFont="true" applyBorder="false" applyAlignment="true" applyProtection="false">
      <alignment horizontal="general" vertical="bottom" textRotation="0" wrapText="false" indent="0" shrinkToFit="false"/>
      <protection locked="true" hidden="false"/>
    </xf>
    <xf numFmtId="169" fontId="11"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general" vertical="top" textRotation="0" wrapText="true" indent="0" shrinkToFit="false"/>
      <protection locked="true" hidden="false"/>
    </xf>
    <xf numFmtId="166" fontId="11" fillId="0" borderId="0" xfId="0" applyFont="true" applyBorder="false" applyAlignment="true" applyProtection="false">
      <alignment horizontal="general" vertical="bottom" textRotation="0" wrapText="false" indent="0" shrinkToFit="false"/>
      <protection locked="true" hidden="false"/>
    </xf>
    <xf numFmtId="170" fontId="11" fillId="0" borderId="0" xfId="0" applyFont="true" applyBorder="false" applyAlignment="true" applyProtection="false">
      <alignment horizontal="general" vertical="bottom" textRotation="0" wrapText="false" indent="0" shrinkToFit="false"/>
      <protection locked="true" hidden="false"/>
    </xf>
    <xf numFmtId="169" fontId="0" fillId="0" borderId="0" xfId="0" applyFont="false" applyBorder="fals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5" fontId="7" fillId="0" borderId="0" xfId="0" applyFont="true" applyBorder="false" applyAlignment="true" applyProtection="false">
      <alignment horizontal="general" vertical="bottom" textRotation="0" wrapText="false" indent="0" shrinkToFit="false"/>
      <protection locked="true" hidden="false"/>
    </xf>
    <xf numFmtId="165" fontId="12" fillId="0" borderId="0" xfId="0" applyFont="true" applyBorder="false" applyAlignment="true" applyProtection="false">
      <alignment horizontal="general" vertical="bottom" textRotation="0" wrapText="false" indent="0" shrinkToFit="false"/>
      <protection locked="true" hidden="false"/>
    </xf>
    <xf numFmtId="169" fontId="12" fillId="0"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5" fontId="14" fillId="6" borderId="0" xfId="0" applyFont="true" applyBorder="fals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E8F0E8"/>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CE6F1"/>
      <rgbColor rgb="FFEDEDED"/>
      <rgbColor rgb="FFFFFF99"/>
      <rgbColor rgb="FF99CCFF"/>
      <rgbColor rgb="FFFF99CC"/>
      <rgbColor rgb="FFCC99FF"/>
      <rgbColor rgb="FFFFCC99"/>
      <rgbColor rgb="FF3366FF"/>
      <rgbColor rgb="FF33CCCC"/>
      <rgbColor rgb="FF99CC00"/>
      <rgbColor rgb="FFFFCC00"/>
      <rgbColor rgb="FFFF9900"/>
      <rgbColor rgb="FFFF6600"/>
      <rgbColor rgb="FF666666"/>
      <rgbColor rgb="FF969696"/>
      <rgbColor rgb="FF003366"/>
      <rgbColor rgb="FF339966"/>
      <rgbColor rgb="FF003300"/>
      <rgbColor rgb="FF333300"/>
      <rgbColor rgb="FF993300"/>
      <rgbColor rgb="FF993366"/>
      <rgbColor rgb="FF333399"/>
      <rgbColor rgb="FF1B4332"/>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110"/>
    <col collapsed="false" customWidth="true" hidden="false" outlineLevel="0" max="2" min="2" style="1" width="26"/>
  </cols>
  <sheetData>
    <row r="1" customFormat="false" ht="21.75" hidden="false" customHeight="true" outlineLevel="0" collapsed="false">
      <c r="A1" s="2" t="s">
        <v>0</v>
      </c>
    </row>
    <row r="2" customFormat="false" ht="15" hidden="false" customHeight="true" outlineLevel="0" collapsed="false">
      <c r="A2" s="3" t="s">
        <v>1</v>
      </c>
    </row>
    <row r="3" customFormat="false" ht="15" hidden="false" customHeight="true" outlineLevel="0" collapsed="false">
      <c r="A3" s="3"/>
    </row>
    <row r="4" customFormat="false" ht="15" hidden="false" customHeight="true" outlineLevel="0" collapsed="false">
      <c r="A4" s="4" t="s">
        <v>2</v>
      </c>
    </row>
    <row r="5" customFormat="false" ht="60" hidden="false" customHeight="true" outlineLevel="0" collapsed="false">
      <c r="A5" s="3" t="s">
        <v>3</v>
      </c>
    </row>
    <row r="6" customFormat="false" ht="15" hidden="false" customHeight="true" outlineLevel="0" collapsed="false">
      <c r="A6" s="3"/>
    </row>
    <row r="7" customFormat="false" ht="15" hidden="false" customHeight="true" outlineLevel="0" collapsed="false">
      <c r="A7" s="4" t="s">
        <v>4</v>
      </c>
    </row>
    <row r="8" customFormat="false" ht="109.5" hidden="false" customHeight="true" outlineLevel="0" collapsed="false">
      <c r="A8" s="3" t="s">
        <v>5</v>
      </c>
    </row>
    <row r="9" customFormat="false" ht="15" hidden="false" customHeight="true" outlineLevel="0" collapsed="false">
      <c r="A9" s="3"/>
    </row>
    <row r="10" customFormat="false" ht="15" hidden="false" customHeight="true" outlineLevel="0" collapsed="false">
      <c r="A10" s="4" t="s">
        <v>6</v>
      </c>
    </row>
    <row r="11" customFormat="false" ht="109.5" hidden="false" customHeight="true" outlineLevel="0" collapsed="false">
      <c r="A11" s="3" t="s">
        <v>7</v>
      </c>
    </row>
    <row r="12" customFormat="false" ht="15" hidden="false" customHeight="true" outlineLevel="0" collapsed="false">
      <c r="A12" s="3"/>
    </row>
    <row r="13" customFormat="false" ht="15" hidden="false" customHeight="true" outlineLevel="0" collapsed="false">
      <c r="A13" s="4" t="s">
        <v>8</v>
      </c>
    </row>
    <row r="14" customFormat="false" ht="79.5" hidden="false" customHeight="true" outlineLevel="0" collapsed="false">
      <c r="A14" s="3" t="s">
        <v>9</v>
      </c>
    </row>
    <row r="15" customFormat="false" ht="15" hidden="false" customHeight="true" outlineLevel="0" collapsed="false">
      <c r="A15" s="3"/>
    </row>
    <row r="16" customFormat="false" ht="15" hidden="false" customHeight="true" outlineLevel="0" collapsed="false">
      <c r="A16" s="4" t="s">
        <v>10</v>
      </c>
    </row>
    <row r="17" customFormat="false" ht="45.75" hidden="false" customHeight="true" outlineLevel="0" collapsed="false">
      <c r="A17" s="3" t="s">
        <v>11</v>
      </c>
    </row>
    <row r="18" customFormat="false" ht="15" hidden="false" customHeight="true" outlineLevel="0" collapsed="false">
      <c r="A18" s="3"/>
    </row>
    <row r="19" customFormat="false" ht="15" hidden="false" customHeight="true" outlineLevel="0" collapsed="false">
      <c r="A19" s="4" t="s">
        <v>12</v>
      </c>
    </row>
    <row r="20" customFormat="false" ht="57" hidden="false" customHeight="true" outlineLevel="0" collapsed="false">
      <c r="A20" s="3" t="s">
        <v>13</v>
      </c>
    </row>
    <row r="21" customFormat="false" ht="15" hidden="false" customHeight="true" outlineLevel="0" collapsed="false">
      <c r="A21" s="3"/>
    </row>
    <row r="22" customFormat="false" ht="15" hidden="false" customHeight="true" outlineLevel="0" collapsed="false">
      <c r="A22" s="4" t="s">
        <v>14</v>
      </c>
    </row>
    <row r="23" customFormat="false" ht="68.25" hidden="false" customHeight="true" outlineLevel="0" collapsed="false">
      <c r="A23" s="3" t="s">
        <v>15</v>
      </c>
    </row>
    <row r="24" customFormat="false" ht="15" hidden="false" customHeight="true" outlineLevel="0" collapsed="false">
      <c r="A24" s="3"/>
    </row>
    <row r="25" customFormat="false" ht="15" hidden="false" customHeight="true" outlineLevel="0" collapsed="false">
      <c r="A25" s="4" t="s">
        <v>16</v>
      </c>
    </row>
    <row r="26" customFormat="false" ht="45.75" hidden="false" customHeight="true" outlineLevel="0" collapsed="false">
      <c r="A26" s="3" t="s">
        <v>17</v>
      </c>
    </row>
    <row r="27" customFormat="false" ht="15" hidden="false" customHeight="true" outlineLevel="0" collapsed="false">
      <c r="A27" s="3"/>
    </row>
    <row r="28" customFormat="false" ht="15" hidden="false" customHeight="true" outlineLevel="0" collapsed="false">
      <c r="A28" s="4" t="s">
        <v>18</v>
      </c>
    </row>
    <row r="29" customFormat="false" ht="34.5" hidden="false" customHeight="true" outlineLevel="0" collapsed="false">
      <c r="A29" s="3" t="s">
        <v>19</v>
      </c>
    </row>
    <row r="31" customFormat="false" ht="15" hidden="false" customHeight="true" outlineLevel="0" collapsed="false"/>
    <row r="32" customFormat="false" ht="15" hidden="false" customHeight="true" outlineLevel="0" collapsed="false"/>
    <row r="33" customFormat="false" ht="15" hidden="false" customHeight="true" outlineLevel="0" collapsed="false"/>
    <row r="34" customFormat="false" ht="15" hidden="false" customHeight="true" outlineLevel="0" collapsed="false"/>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5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48"/>
    <col collapsed="false" customWidth="true" hidden="false" outlineLevel="0" max="2" min="2" style="1" width="26"/>
    <col collapsed="false" customWidth="true" hidden="false" outlineLevel="0" max="3" min="3" style="1" width="60"/>
  </cols>
  <sheetData>
    <row r="1" customFormat="false" ht="17.25" hidden="false" customHeight="true" outlineLevel="0" collapsed="false">
      <c r="A1" s="5" t="s">
        <v>20</v>
      </c>
      <c r="B1" s="5"/>
      <c r="C1" s="5"/>
    </row>
    <row r="2" customFormat="false" ht="15" hidden="false" customHeight="true" outlineLevel="0" collapsed="false">
      <c r="A2" s="1" t="str">
        <f aca="false">IF(OR(in_BuyerStatus="SMSF",in_BuyerStatus="PPR"),"WARNING: buyer status '"&amp;in_BuyerStatus&amp;"' is NOT modelled. This is an individual residential-investor calculator - SMSF (15% fund tax) and main-residence (PPR) CGT are not calculated. Do not rely on these outputs for "&amp;in_BuyerStatus&amp;".","")</f>
        <v/>
      </c>
    </row>
    <row r="3" customFormat="false" ht="15" hidden="false" customHeight="true" outlineLevel="0" collapsed="false">
      <c r="A3" s="6" t="s">
        <v>21</v>
      </c>
      <c r="B3" s="7"/>
      <c r="C3" s="7"/>
    </row>
    <row r="4" customFormat="false" ht="15" hidden="false" customHeight="true" outlineLevel="0" collapsed="false">
      <c r="A4" s="8" t="s">
        <v>22</v>
      </c>
      <c r="B4" s="9" t="n">
        <v>850000</v>
      </c>
      <c r="C4" s="10" t="s">
        <v>23</v>
      </c>
    </row>
    <row r="5" customFormat="false" ht="15" hidden="false" customHeight="true" outlineLevel="0" collapsed="false">
      <c r="A5" s="8" t="s">
        <v>24</v>
      </c>
      <c r="B5" s="11" t="s">
        <v>25</v>
      </c>
      <c r="C5" s="10" t="s">
        <v>26</v>
      </c>
    </row>
    <row r="6" customFormat="false" ht="15" hidden="false" customHeight="true" outlineLevel="0" collapsed="false">
      <c r="A6" s="8" t="s">
        <v>27</v>
      </c>
      <c r="B6" s="11" t="s">
        <v>28</v>
      </c>
      <c r="C6" s="10" t="s">
        <v>29</v>
      </c>
    </row>
    <row r="7" customFormat="false" ht="15" hidden="false" customHeight="true" outlineLevel="0" collapsed="false">
      <c r="A7" s="8" t="s">
        <v>30</v>
      </c>
      <c r="B7" s="11" t="s">
        <v>31</v>
      </c>
      <c r="C7" s="10" t="s">
        <v>32</v>
      </c>
    </row>
    <row r="8" customFormat="false" ht="15" hidden="false" customHeight="true" outlineLevel="0" collapsed="false">
      <c r="A8" s="8" t="s">
        <v>33</v>
      </c>
      <c r="B8" s="11" t="s">
        <v>34</v>
      </c>
      <c r="C8" s="10" t="s">
        <v>35</v>
      </c>
    </row>
    <row r="9" customFormat="false" ht="15" hidden="false" customHeight="true" outlineLevel="0" collapsed="false">
      <c r="A9" s="8" t="s">
        <v>36</v>
      </c>
      <c r="B9" s="11" t="s">
        <v>37</v>
      </c>
      <c r="C9" s="10" t="s">
        <v>38</v>
      </c>
    </row>
    <row r="10" customFormat="false" ht="15" hidden="false" customHeight="true" outlineLevel="0" collapsed="false">
      <c r="A10" s="8" t="s">
        <v>39</v>
      </c>
      <c r="B10" s="11" t="s">
        <v>37</v>
      </c>
      <c r="C10" s="10" t="s">
        <v>40</v>
      </c>
    </row>
    <row r="11" customFormat="false" ht="15" hidden="false" customHeight="true" outlineLevel="0" collapsed="false">
      <c r="A11" s="1" t="s">
        <v>41</v>
      </c>
      <c r="B11" s="1" t="s">
        <v>37</v>
      </c>
      <c r="C11" s="1" t="s">
        <v>42</v>
      </c>
    </row>
    <row r="12" customFormat="false" ht="15" hidden="false" customHeight="true" outlineLevel="0" collapsed="false">
      <c r="A12" s="6" t="s">
        <v>43</v>
      </c>
      <c r="B12" s="7"/>
      <c r="C12" s="7"/>
    </row>
    <row r="13" customFormat="false" ht="15" hidden="false" customHeight="true" outlineLevel="0" collapsed="false">
      <c r="A13" s="8" t="s">
        <v>44</v>
      </c>
      <c r="B13" s="9" t="n">
        <v>170000</v>
      </c>
      <c r="C13" s="10" t="s">
        <v>45</v>
      </c>
    </row>
    <row r="14" customFormat="false" ht="15" hidden="false" customHeight="true" outlineLevel="0" collapsed="false">
      <c r="A14" s="8" t="s">
        <v>46</v>
      </c>
      <c r="B14" s="12" t="n">
        <v>30</v>
      </c>
      <c r="C14" s="10"/>
    </row>
    <row r="15" customFormat="false" ht="15" hidden="false" customHeight="true" outlineLevel="0" collapsed="false">
      <c r="A15" s="8" t="s">
        <v>47</v>
      </c>
      <c r="B15" s="11" t="s">
        <v>48</v>
      </c>
      <c r="C15" s="10"/>
    </row>
    <row r="16" customFormat="false" ht="15" hidden="false" customHeight="true" outlineLevel="0" collapsed="false">
      <c r="A16" s="8" t="s">
        <v>49</v>
      </c>
      <c r="B16" s="13" t="n">
        <v>0.067</v>
      </c>
      <c r="C16" s="10" t="s">
        <v>50</v>
      </c>
    </row>
    <row r="18" customFormat="false" ht="15" hidden="false" customHeight="true" outlineLevel="0" collapsed="false">
      <c r="A18" s="6" t="s">
        <v>51</v>
      </c>
      <c r="B18" s="7"/>
      <c r="C18" s="7"/>
    </row>
    <row r="19" customFormat="false" ht="15" hidden="false" customHeight="true" outlineLevel="0" collapsed="false">
      <c r="A19" s="8" t="s">
        <v>52</v>
      </c>
      <c r="B19" s="9" t="n">
        <v>42000</v>
      </c>
      <c r="C19" s="10" t="s">
        <v>53</v>
      </c>
    </row>
    <row r="20" customFormat="false" ht="15" hidden="false" customHeight="true" outlineLevel="0" collapsed="false">
      <c r="A20" s="8" t="s">
        <v>54</v>
      </c>
      <c r="B20" s="12" t="n">
        <v>50</v>
      </c>
      <c r="C20" s="10" t="s">
        <v>55</v>
      </c>
    </row>
    <row r="21" customFormat="false" ht="15" hidden="false" customHeight="true" outlineLevel="0" collapsed="false">
      <c r="A21" s="8" t="s">
        <v>56</v>
      </c>
      <c r="B21" s="13" t="n">
        <v>0.07</v>
      </c>
      <c r="C21" s="10" t="s">
        <v>57</v>
      </c>
    </row>
    <row r="23" customFormat="false" ht="15" hidden="false" customHeight="true" outlineLevel="0" collapsed="false">
      <c r="A23" s="6" t="s">
        <v>58</v>
      </c>
      <c r="B23" s="7"/>
      <c r="C23" s="7"/>
    </row>
    <row r="24" customFormat="false" ht="15" hidden="false" customHeight="true" outlineLevel="0" collapsed="false">
      <c r="A24" s="8" t="s">
        <v>59</v>
      </c>
      <c r="B24" s="9" t="n">
        <v>2200</v>
      </c>
      <c r="C24" s="10"/>
    </row>
    <row r="25" customFormat="false" ht="15" hidden="false" customHeight="true" outlineLevel="0" collapsed="false">
      <c r="A25" s="8" t="s">
        <v>60</v>
      </c>
      <c r="B25" s="9" t="n">
        <v>900</v>
      </c>
      <c r="C25" s="10"/>
    </row>
    <row r="26" customFormat="false" ht="15" hidden="false" customHeight="true" outlineLevel="0" collapsed="false">
      <c r="A26" s="8" t="s">
        <v>61</v>
      </c>
      <c r="B26" s="9" t="n">
        <v>1300</v>
      </c>
      <c r="C26" s="10"/>
    </row>
    <row r="27" customFormat="false" ht="15" hidden="false" customHeight="true" outlineLevel="0" collapsed="false">
      <c r="A27" s="8" t="s">
        <v>62</v>
      </c>
      <c r="B27" s="9" t="n">
        <v>2500</v>
      </c>
      <c r="C27" s="10"/>
    </row>
    <row r="28" customFormat="false" ht="15" hidden="false" customHeight="true" outlineLevel="0" collapsed="false">
      <c r="A28" s="8" t="s">
        <v>63</v>
      </c>
      <c r="B28" s="9" t="n">
        <v>3500</v>
      </c>
      <c r="C28" s="10" t="s">
        <v>64</v>
      </c>
    </row>
    <row r="29" customFormat="false" ht="15" hidden="false" customHeight="true" outlineLevel="0" collapsed="false">
      <c r="A29" s="8" t="s">
        <v>65</v>
      </c>
      <c r="B29" s="9" t="n">
        <v>1900</v>
      </c>
      <c r="C29" s="10" t="s">
        <v>66</v>
      </c>
    </row>
    <row r="30" customFormat="false" ht="15" hidden="false" customHeight="true" outlineLevel="0" collapsed="false">
      <c r="A30" s="8" t="s">
        <v>67</v>
      </c>
      <c r="B30" s="9" t="n">
        <v>500</v>
      </c>
      <c r="C30" s="10"/>
    </row>
    <row r="32" customFormat="false" ht="15" hidden="false" customHeight="true" outlineLevel="0" collapsed="false">
      <c r="A32" s="6" t="s">
        <v>68</v>
      </c>
      <c r="B32" s="7"/>
      <c r="C32" s="7"/>
    </row>
    <row r="33" customFormat="false" ht="15" hidden="false" customHeight="true" outlineLevel="0" collapsed="false">
      <c r="A33" s="8" t="s">
        <v>69</v>
      </c>
      <c r="B33" s="9" t="n">
        <v>110000</v>
      </c>
      <c r="C33" s="10" t="s">
        <v>70</v>
      </c>
    </row>
    <row r="34" customFormat="false" ht="15" hidden="false" customHeight="true" outlineLevel="0" collapsed="false">
      <c r="A34" s="8" t="s">
        <v>71</v>
      </c>
      <c r="B34" s="11" t="s">
        <v>72</v>
      </c>
      <c r="C34" s="10" t="s">
        <v>73</v>
      </c>
    </row>
    <row r="35" customFormat="false" ht="15" hidden="false" customHeight="true" outlineLevel="0" collapsed="false">
      <c r="A35" s="8" t="s">
        <v>74</v>
      </c>
      <c r="B35" s="11"/>
      <c r="C35" s="10" t="s">
        <v>75</v>
      </c>
    </row>
    <row r="37" customFormat="false" ht="15" hidden="false" customHeight="true" outlineLevel="0" collapsed="false">
      <c r="A37" s="6" t="s">
        <v>76</v>
      </c>
      <c r="B37" s="7"/>
      <c r="C37" s="7"/>
    </row>
    <row r="38" customFormat="false" ht="15" hidden="false" customHeight="true" outlineLevel="0" collapsed="false">
      <c r="A38" s="8" t="s">
        <v>77</v>
      </c>
      <c r="B38" s="14" t="n">
        <v>2008</v>
      </c>
      <c r="C38" s="10" t="s">
        <v>78</v>
      </c>
    </row>
    <row r="39" customFormat="false" ht="15" hidden="false" customHeight="true" outlineLevel="0" collapsed="false">
      <c r="A39" s="8" t="s">
        <v>79</v>
      </c>
      <c r="B39" s="9" t="n">
        <v>18000</v>
      </c>
      <c r="C39" s="10" t="s">
        <v>80</v>
      </c>
    </row>
    <row r="40" customFormat="false" ht="15" hidden="false" customHeight="true" outlineLevel="0" collapsed="false">
      <c r="A40" s="8" t="s">
        <v>81</v>
      </c>
      <c r="B40" s="11" t="s">
        <v>82</v>
      </c>
      <c r="C40" s="10"/>
    </row>
    <row r="41" customFormat="false" ht="15" hidden="false" customHeight="true" outlineLevel="0" collapsed="false">
      <c r="A41" s="8" t="s">
        <v>83</v>
      </c>
      <c r="B41" s="12" t="n">
        <v>10</v>
      </c>
      <c r="C41" s="10" t="s">
        <v>84</v>
      </c>
    </row>
    <row r="42" customFormat="false" ht="15" hidden="false" customHeight="true" outlineLevel="0" collapsed="false">
      <c r="A42" s="1" t="s">
        <v>85</v>
      </c>
      <c r="B42" s="1" t="s">
        <v>37</v>
      </c>
      <c r="C42" s="1" t="s">
        <v>86</v>
      </c>
    </row>
    <row r="43" customFormat="false" ht="15" hidden="false" customHeight="true" outlineLevel="0" collapsed="false">
      <c r="A43" s="6" t="s">
        <v>87</v>
      </c>
      <c r="B43" s="7"/>
      <c r="C43" s="7"/>
    </row>
    <row r="44" customFormat="false" ht="15" hidden="false" customHeight="true" outlineLevel="0" collapsed="false">
      <c r="A44" s="8" t="s">
        <v>88</v>
      </c>
      <c r="B44" s="12" t="n">
        <v>10</v>
      </c>
      <c r="C44" s="10"/>
    </row>
    <row r="45" customFormat="false" ht="15" hidden="false" customHeight="true" outlineLevel="0" collapsed="false">
      <c r="A45" s="8" t="s">
        <v>89</v>
      </c>
      <c r="B45" s="13" t="n">
        <v>0.04</v>
      </c>
      <c r="C45" s="10" t="s">
        <v>90</v>
      </c>
    </row>
    <row r="46" customFormat="false" ht="15" hidden="false" customHeight="true" outlineLevel="0" collapsed="false">
      <c r="A46" s="8" t="s">
        <v>91</v>
      </c>
      <c r="B46" s="9"/>
      <c r="C46" s="10" t="s">
        <v>92</v>
      </c>
    </row>
    <row r="47" customFormat="false" ht="15" hidden="false" customHeight="true" outlineLevel="0" collapsed="false">
      <c r="A47" s="8" t="s">
        <v>93</v>
      </c>
      <c r="B47" s="9" t="n">
        <v>340000</v>
      </c>
      <c r="C47" s="10" t="s">
        <v>94</v>
      </c>
    </row>
    <row r="48" customFormat="false" ht="15" hidden="false" customHeight="true" outlineLevel="0" collapsed="false">
      <c r="A48" s="1" t="s">
        <v>95</v>
      </c>
      <c r="B48" s="15"/>
      <c r="C48" s="1" t="s">
        <v>96</v>
      </c>
    </row>
    <row r="49" customFormat="false" ht="15" hidden="false" customHeight="true" outlineLevel="0" collapsed="false">
      <c r="A49" s="1" t="s">
        <v>97</v>
      </c>
      <c r="B49" s="15"/>
      <c r="C49" s="1" t="s">
        <v>98</v>
      </c>
    </row>
    <row r="50" customFormat="false" ht="15" hidden="false" customHeight="true" outlineLevel="0" collapsed="false">
      <c r="A50" s="16"/>
    </row>
    <row r="51" customFormat="false" ht="15" hidden="false" customHeight="true" outlineLevel="0" collapsed="false"/>
    <row r="52" customFormat="false" ht="79.5" hidden="false" customHeight="true" outlineLevel="0" collapsed="false">
      <c r="A52" s="17" t="s">
        <v>19</v>
      </c>
      <c r="B52" s="17"/>
      <c r="C52" s="17"/>
    </row>
  </sheetData>
  <mergeCells count="2">
    <mergeCell ref="A1:C1"/>
    <mergeCell ref="A52:C5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6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48"/>
    <col collapsed="false" customWidth="true" hidden="false" outlineLevel="0" max="2" min="2" style="1" width="26"/>
    <col collapsed="false" customWidth="true" hidden="false" outlineLevel="0" max="3" min="3" style="1" width="60"/>
  </cols>
  <sheetData>
    <row r="1" customFormat="false" ht="17.25" hidden="false" customHeight="true" outlineLevel="0" collapsed="false">
      <c r="A1" s="5" t="s">
        <v>99</v>
      </c>
      <c r="B1" s="5"/>
      <c r="C1" s="5"/>
    </row>
    <row r="3" customFormat="false" ht="15" hidden="false" customHeight="true" outlineLevel="0" collapsed="false">
      <c r="A3" s="18" t="s">
        <v>100</v>
      </c>
      <c r="B3" s="7"/>
      <c r="C3" s="7"/>
    </row>
    <row r="4" customFormat="false" ht="15" hidden="false" customHeight="true" outlineLevel="0" collapsed="false">
      <c r="A4" s="8" t="s">
        <v>101</v>
      </c>
      <c r="B4" s="19" t="n">
        <v>18200</v>
      </c>
      <c r="C4" s="20" t="s">
        <v>102</v>
      </c>
    </row>
    <row r="5" customFormat="false" ht="15" hidden="false" customHeight="true" outlineLevel="0" collapsed="false">
      <c r="A5" s="8" t="s">
        <v>103</v>
      </c>
      <c r="B5" s="21" t="n">
        <v>0.16</v>
      </c>
      <c r="C5" s="20" t="s">
        <v>104</v>
      </c>
    </row>
    <row r="6" customFormat="false" ht="15" hidden="false" customHeight="true" outlineLevel="0" collapsed="false">
      <c r="A6" s="8" t="s">
        <v>105</v>
      </c>
      <c r="B6" s="21" t="n">
        <v>0.3</v>
      </c>
      <c r="C6" s="20" t="s">
        <v>106</v>
      </c>
    </row>
    <row r="7" customFormat="false" ht="15" hidden="false" customHeight="true" outlineLevel="0" collapsed="false">
      <c r="A7" s="8" t="s">
        <v>107</v>
      </c>
      <c r="B7" s="21" t="n">
        <v>0.37</v>
      </c>
      <c r="C7" s="20" t="s">
        <v>108</v>
      </c>
    </row>
    <row r="8" customFormat="false" ht="15" hidden="false" customHeight="true" outlineLevel="0" collapsed="false">
      <c r="A8" s="8" t="s">
        <v>109</v>
      </c>
      <c r="B8" s="21" t="n">
        <v>0.45</v>
      </c>
      <c r="C8" s="20" t="s">
        <v>110</v>
      </c>
    </row>
    <row r="9" customFormat="false" ht="15" hidden="false" customHeight="true" outlineLevel="0" collapsed="false">
      <c r="A9" s="8" t="s">
        <v>111</v>
      </c>
      <c r="B9" s="21" t="n">
        <v>0.15</v>
      </c>
      <c r="C9" s="20" t="s">
        <v>112</v>
      </c>
    </row>
    <row r="10" customFormat="false" ht="15" hidden="false" customHeight="true" outlineLevel="0" collapsed="false">
      <c r="A10" s="8" t="s">
        <v>113</v>
      </c>
      <c r="B10" s="21" t="n">
        <v>0.14</v>
      </c>
      <c r="C10" s="20" t="s">
        <v>114</v>
      </c>
    </row>
    <row r="12" customFormat="false" ht="15" hidden="false" customHeight="true" outlineLevel="0" collapsed="false">
      <c r="A12" s="18" t="s">
        <v>115</v>
      </c>
      <c r="B12" s="7"/>
      <c r="C12" s="7"/>
    </row>
    <row r="13" customFormat="false" ht="15" hidden="false" customHeight="true" outlineLevel="0" collapsed="false">
      <c r="A13" s="8" t="s">
        <v>116</v>
      </c>
      <c r="B13" s="21" t="n">
        <v>0.02</v>
      </c>
      <c r="C13" s="20" t="s">
        <v>117</v>
      </c>
    </row>
    <row r="14" customFormat="false" ht="15" hidden="false" customHeight="true" outlineLevel="0" collapsed="false">
      <c r="A14" s="8" t="s">
        <v>118</v>
      </c>
      <c r="B14" s="22" t="n">
        <v>28011</v>
      </c>
      <c r="C14" s="20" t="s">
        <v>119</v>
      </c>
    </row>
    <row r="15" customFormat="false" ht="15" hidden="false" customHeight="true" outlineLevel="0" collapsed="false">
      <c r="A15" s="8" t="s">
        <v>120</v>
      </c>
      <c r="B15" s="22" t="n">
        <v>35012</v>
      </c>
      <c r="C15" s="20"/>
    </row>
    <row r="16" customFormat="false" ht="15" hidden="false" customHeight="true" outlineLevel="0" collapsed="false">
      <c r="A16" s="8" t="s">
        <v>121</v>
      </c>
      <c r="B16" s="22" t="n">
        <v>101000</v>
      </c>
      <c r="C16" s="20"/>
    </row>
    <row r="17" customFormat="false" ht="15" hidden="false" customHeight="true" outlineLevel="0" collapsed="false">
      <c r="A17" s="8" t="s">
        <v>122</v>
      </c>
      <c r="B17" s="21" t="n">
        <v>0.01</v>
      </c>
      <c r="C17" s="20"/>
    </row>
    <row r="19" customFormat="false" ht="15" hidden="false" customHeight="true" outlineLevel="0" collapsed="false">
      <c r="A19" s="18" t="s">
        <v>123</v>
      </c>
      <c r="B19" s="7"/>
      <c r="C19" s="7"/>
    </row>
    <row r="20" customFormat="false" ht="15" hidden="false" customHeight="true" outlineLevel="0" collapsed="false">
      <c r="A20" s="8" t="s">
        <v>124</v>
      </c>
      <c r="B20" s="21" t="n">
        <v>0.5</v>
      </c>
      <c r="C20" s="20" t="s">
        <v>125</v>
      </c>
    </row>
    <row r="21" customFormat="false" ht="15" hidden="false" customHeight="true" outlineLevel="0" collapsed="false">
      <c r="A21" s="8" t="s">
        <v>126</v>
      </c>
      <c r="B21" s="21" t="n">
        <v>0.3</v>
      </c>
      <c r="C21" s="20" t="s">
        <v>127</v>
      </c>
    </row>
    <row r="22" customFormat="false" ht="15" hidden="false" customHeight="true" outlineLevel="0" collapsed="false">
      <c r="A22" s="8" t="s">
        <v>128</v>
      </c>
      <c r="B22" s="23" t="s">
        <v>129</v>
      </c>
      <c r="C22" s="20" t="s">
        <v>130</v>
      </c>
    </row>
    <row r="24" customFormat="false" ht="15" hidden="false" customHeight="true" outlineLevel="0" collapsed="false">
      <c r="A24" s="18" t="s">
        <v>131</v>
      </c>
      <c r="B24" s="7"/>
      <c r="C24" s="7"/>
    </row>
    <row r="25" customFormat="false" ht="15" hidden="false" customHeight="true" outlineLevel="0" collapsed="false">
      <c r="A25" s="8" t="s">
        <v>132</v>
      </c>
      <c r="B25" s="23" t="s">
        <v>133</v>
      </c>
      <c r="C25" s="20" t="s">
        <v>134</v>
      </c>
    </row>
    <row r="26" customFormat="false" ht="15" hidden="false" customHeight="true" outlineLevel="0" collapsed="false">
      <c r="A26" s="8" t="s">
        <v>135</v>
      </c>
      <c r="B26" s="23" t="s">
        <v>129</v>
      </c>
      <c r="C26" s="20" t="s">
        <v>136</v>
      </c>
    </row>
    <row r="28" customFormat="false" ht="15" hidden="false" customHeight="true" outlineLevel="0" collapsed="false">
      <c r="A28" s="18" t="s">
        <v>76</v>
      </c>
      <c r="B28" s="7"/>
      <c r="C28" s="7"/>
    </row>
    <row r="29" customFormat="false" ht="15" hidden="false" customHeight="true" outlineLevel="0" collapsed="false">
      <c r="A29" s="8" t="s">
        <v>137</v>
      </c>
      <c r="B29" s="21" t="n">
        <v>0.025</v>
      </c>
      <c r="C29" s="20" t="s">
        <v>138</v>
      </c>
    </row>
    <row r="30" customFormat="false" ht="15" hidden="false" customHeight="true" outlineLevel="0" collapsed="false">
      <c r="A30" s="8" t="s">
        <v>139</v>
      </c>
      <c r="B30" s="19" t="n">
        <v>40</v>
      </c>
      <c r="C30" s="20"/>
    </row>
    <row r="31" customFormat="false" ht="15" hidden="false" customHeight="true" outlineLevel="0" collapsed="false">
      <c r="A31" s="8" t="s">
        <v>140</v>
      </c>
      <c r="B31" s="19" t="n">
        <v>10</v>
      </c>
      <c r="C31" s="20" t="s">
        <v>141</v>
      </c>
    </row>
    <row r="33" customFormat="false" ht="15" hidden="false" customHeight="true" outlineLevel="0" collapsed="false">
      <c r="A33" s="18" t="s">
        <v>142</v>
      </c>
      <c r="B33" s="7"/>
      <c r="C33" s="7"/>
    </row>
    <row r="34" customFormat="false" ht="15" hidden="false" customHeight="true" outlineLevel="0" collapsed="false">
      <c r="A34" s="8" t="s">
        <v>143</v>
      </c>
      <c r="B34" s="21" t="n">
        <v>0.0435</v>
      </c>
      <c r="C34" s="20" t="s">
        <v>144</v>
      </c>
    </row>
    <row r="35" customFormat="false" ht="15" hidden="false" customHeight="true" outlineLevel="0" collapsed="false">
      <c r="A35" s="8" t="s">
        <v>145</v>
      </c>
      <c r="B35" s="21" t="n">
        <v>0.067</v>
      </c>
      <c r="C35" s="20" t="s">
        <v>146</v>
      </c>
    </row>
    <row r="36" customFormat="false" ht="15" hidden="false" customHeight="true" outlineLevel="0" collapsed="false">
      <c r="A36" s="8" t="s">
        <v>147</v>
      </c>
      <c r="B36" s="21" t="n">
        <v>0.03</v>
      </c>
      <c r="C36" s="20" t="s">
        <v>148</v>
      </c>
    </row>
    <row r="37" customFormat="false" ht="15" hidden="false" customHeight="true" outlineLevel="0" collapsed="false">
      <c r="A37" s="8" t="s">
        <v>149</v>
      </c>
      <c r="B37" s="21" t="n">
        <v>0.8</v>
      </c>
      <c r="C37" s="20"/>
    </row>
    <row r="39" customFormat="false" ht="15" hidden="false" customHeight="true" outlineLevel="0" collapsed="false">
      <c r="A39" s="18" t="s">
        <v>150</v>
      </c>
      <c r="B39" s="7"/>
      <c r="C39" s="7"/>
    </row>
    <row r="40" customFormat="false" ht="15" hidden="false" customHeight="true" outlineLevel="0" collapsed="false">
      <c r="A40" s="8" t="s">
        <v>151</v>
      </c>
      <c r="B40" s="22" t="n">
        <v>800000</v>
      </c>
      <c r="C40" s="20"/>
    </row>
    <row r="41" customFormat="false" ht="15" hidden="false" customHeight="true" outlineLevel="0" collapsed="false">
      <c r="A41" s="8" t="s">
        <v>152</v>
      </c>
      <c r="B41" s="21" t="n">
        <v>0.09</v>
      </c>
      <c r="C41" s="20"/>
    </row>
    <row r="43" customFormat="false" ht="15" hidden="false" customHeight="true" outlineLevel="0" collapsed="false">
      <c r="A43" s="18" t="s">
        <v>153</v>
      </c>
      <c r="B43" s="7"/>
      <c r="C43" s="7"/>
    </row>
    <row r="44" customFormat="false" ht="15" hidden="false" customHeight="true" outlineLevel="0" collapsed="false">
      <c r="A44" s="8" t="s">
        <v>154</v>
      </c>
      <c r="B44" s="22" t="n">
        <v>600000</v>
      </c>
      <c r="C44" s="20"/>
    </row>
    <row r="45" customFormat="false" ht="15" hidden="false" customHeight="true" outlineLevel="0" collapsed="false">
      <c r="A45" s="8" t="s">
        <v>155</v>
      </c>
      <c r="B45" s="21" t="n">
        <v>0.08</v>
      </c>
      <c r="C45" s="20"/>
    </row>
    <row r="47" customFormat="false" ht="15" hidden="false" customHeight="true" outlineLevel="0" collapsed="false">
      <c r="A47" s="18" t="s">
        <v>156</v>
      </c>
      <c r="B47" s="7"/>
      <c r="C47" s="7"/>
    </row>
    <row r="48" customFormat="false" ht="15" hidden="false" customHeight="true" outlineLevel="0" collapsed="false">
      <c r="A48" s="8" t="s">
        <v>157</v>
      </c>
      <c r="B48" s="22" t="n">
        <v>1075000</v>
      </c>
      <c r="C48" s="20"/>
    </row>
    <row r="49" customFormat="false" ht="15" hidden="false" customHeight="true" outlineLevel="0" collapsed="false">
      <c r="A49" s="8" t="s">
        <v>158</v>
      </c>
      <c r="B49" s="21" t="n">
        <v>0.016</v>
      </c>
      <c r="C49" s="20" t="s">
        <v>159</v>
      </c>
    </row>
    <row r="50" customFormat="false" ht="15" hidden="false" customHeight="true" outlineLevel="0" collapsed="false">
      <c r="A50" s="8" t="s">
        <v>160</v>
      </c>
      <c r="B50" s="22" t="n">
        <v>100</v>
      </c>
      <c r="C50" s="20" t="s">
        <v>161</v>
      </c>
    </row>
    <row r="51" customFormat="false" ht="15" hidden="false" customHeight="true" outlineLevel="0" collapsed="false">
      <c r="A51" s="8" t="s">
        <v>162</v>
      </c>
      <c r="B51" s="21" t="n">
        <v>0.05</v>
      </c>
      <c r="C51" s="20" t="s">
        <v>163</v>
      </c>
    </row>
    <row r="53" customFormat="false" ht="15" hidden="false" customHeight="true" outlineLevel="0" collapsed="false">
      <c r="A53" s="1" t="s">
        <v>164</v>
      </c>
      <c r="B53" s="24" t="n">
        <v>0.028</v>
      </c>
      <c r="C53" s="1" t="s">
        <v>165</v>
      </c>
    </row>
    <row r="55" customFormat="false" ht="15" hidden="false" customHeight="true" outlineLevel="0" collapsed="false">
      <c r="A55" s="1" t="s">
        <v>166</v>
      </c>
      <c r="D55" s="1" t="s">
        <v>167</v>
      </c>
    </row>
    <row r="56" customFormat="false" ht="15" hidden="false" customHeight="true" outlineLevel="0" collapsed="false">
      <c r="A56" s="1" t="s">
        <v>168</v>
      </c>
      <c r="C56" s="1" t="s">
        <v>169</v>
      </c>
      <c r="D56" s="1" t="s">
        <v>170</v>
      </c>
    </row>
    <row r="57" customFormat="false" ht="15" hidden="false" customHeight="true" outlineLevel="0" collapsed="false">
      <c r="A57" s="1" t="s">
        <v>171</v>
      </c>
      <c r="C57" s="1" t="s">
        <v>172</v>
      </c>
      <c r="D57" s="1" t="s">
        <v>173</v>
      </c>
    </row>
    <row r="58" customFormat="false" ht="15" hidden="false" customHeight="true" outlineLevel="0" collapsed="false">
      <c r="A58" s="1" t="s">
        <v>174</v>
      </c>
      <c r="C58" s="1" t="s">
        <v>175</v>
      </c>
      <c r="D58" s="1" t="s">
        <v>170</v>
      </c>
    </row>
    <row r="59" customFormat="false" ht="15" hidden="false" customHeight="true" outlineLevel="0" collapsed="false">
      <c r="A59" s="1" t="s">
        <v>176</v>
      </c>
      <c r="C59" s="1" t="s">
        <v>177</v>
      </c>
      <c r="D59" s="1" t="s">
        <v>178</v>
      </c>
    </row>
    <row r="60" customFormat="false" ht="15" hidden="false" customHeight="true" outlineLevel="0" collapsed="false">
      <c r="A60" s="1" t="s">
        <v>179</v>
      </c>
      <c r="C60" s="1" t="s">
        <v>180</v>
      </c>
      <c r="D60" s="1" t="s">
        <v>181</v>
      </c>
    </row>
    <row r="61" customFormat="false" ht="15" hidden="false" customHeight="true" outlineLevel="0" collapsed="false">
      <c r="A61" s="1" t="s">
        <v>182</v>
      </c>
      <c r="C61" s="1" t="s">
        <v>183</v>
      </c>
      <c r="D61" s="1" t="s">
        <v>184</v>
      </c>
    </row>
    <row r="62" customFormat="false" ht="15" hidden="false" customHeight="true" outlineLevel="0" collapsed="false">
      <c r="A62" s="1" t="s">
        <v>185</v>
      </c>
      <c r="C62" s="1" t="s">
        <v>186</v>
      </c>
      <c r="D62" s="1" t="s">
        <v>187</v>
      </c>
    </row>
    <row r="63" customFormat="false" ht="15" hidden="false" customHeight="true" outlineLevel="0" collapsed="false">
      <c r="A63" s="1" t="s">
        <v>188</v>
      </c>
      <c r="C63" s="1" t="s">
        <v>189</v>
      </c>
      <c r="D63" s="1" t="s">
        <v>190</v>
      </c>
    </row>
    <row r="64" customFormat="false" ht="15" hidden="false" customHeight="true" outlineLevel="0" collapsed="false">
      <c r="A64" s="1" t="s">
        <v>191</v>
      </c>
      <c r="C64" s="1" t="s">
        <v>192</v>
      </c>
      <c r="D64" s="1" t="s">
        <v>193</v>
      </c>
    </row>
    <row r="65" customFormat="false" ht="15" hidden="false" customHeight="true" outlineLevel="0" collapsed="false">
      <c r="A65" s="1" t="s">
        <v>194</v>
      </c>
      <c r="C65" s="1" t="s">
        <v>195</v>
      </c>
      <c r="D65" s="1" t="s">
        <v>196</v>
      </c>
    </row>
    <row r="66" customFormat="false" ht="15" hidden="false" customHeight="true" outlineLevel="0" collapsed="false">
      <c r="A66" s="1" t="s">
        <v>197</v>
      </c>
      <c r="C66" s="1" t="s">
        <v>198</v>
      </c>
      <c r="D66" s="1" t="s">
        <v>199</v>
      </c>
    </row>
  </sheetData>
  <mergeCells count="1">
    <mergeCell ref="A1:C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48"/>
    <col collapsed="false" customWidth="true" hidden="false" outlineLevel="0" max="2" min="2" style="1" width="26"/>
  </cols>
  <sheetData>
    <row r="1" customFormat="false" ht="17.25" hidden="false" customHeight="true" outlineLevel="0" collapsed="false">
      <c r="A1" s="5" t="s">
        <v>200</v>
      </c>
      <c r="B1" s="5"/>
    </row>
    <row r="3" customFormat="false" ht="15" hidden="false" customHeight="true" outlineLevel="0" collapsed="false">
      <c r="A3" s="8" t="s">
        <v>201</v>
      </c>
      <c r="B3" s="25" t="n">
        <f aca="false">in_PurchasePrice - in_Deposit</f>
        <v>680000</v>
      </c>
    </row>
    <row r="4" customFormat="false" ht="15" hidden="false" customHeight="true" outlineLevel="0" collapsed="false">
      <c r="A4" s="8" t="s">
        <v>202</v>
      </c>
      <c r="B4" s="26" t="n">
        <f aca="false">B3 / in_PurchasePrice</f>
        <v>0.8</v>
      </c>
    </row>
    <row r="5" customFormat="false" ht="15" hidden="false" customHeight="true" outlineLevel="0" collapsed="false">
      <c r="A5" s="8" t="s">
        <v>203</v>
      </c>
      <c r="B5" s="27" t="str">
        <f aca="false">IF(B4 &gt; rt_LMITrigger, "Yes", "No")</f>
        <v>No</v>
      </c>
    </row>
    <row r="7" customFormat="false" ht="15" hidden="false" customHeight="true" outlineLevel="0" collapsed="false">
      <c r="A7" s="8" t="s">
        <v>204</v>
      </c>
      <c r="B7" s="25" t="n">
        <f aca="false">in_GrossRent</f>
        <v>42000</v>
      </c>
    </row>
    <row r="8" customFormat="false" ht="15" hidden="false" customHeight="true" outlineLevel="0" collapsed="false">
      <c r="A8" s="8" t="s">
        <v>205</v>
      </c>
      <c r="B8" s="25" t="n">
        <f aca="false">in_GrossRent * (in_WeeksRented / 52) - in_GrossRent</f>
        <v>-1615.38461538462</v>
      </c>
    </row>
    <row r="9" customFormat="false" ht="15" hidden="false" customHeight="true" outlineLevel="0" collapsed="false">
      <c r="A9" s="8" t="s">
        <v>206</v>
      </c>
      <c r="B9" s="25" t="n">
        <f aca="false">-(in_GrossRent * in_MgmtFee)</f>
        <v>-2940</v>
      </c>
    </row>
    <row r="10" customFormat="false" ht="15" hidden="false" customHeight="true" outlineLevel="0" collapsed="false">
      <c r="A10" s="8" t="s">
        <v>207</v>
      </c>
      <c r="B10" s="25" t="n">
        <f aca="false">B7 + B8 + B9</f>
        <v>37444.6153846154</v>
      </c>
    </row>
    <row r="12" customFormat="false" ht="15" hidden="false" customHeight="true" outlineLevel="0" collapsed="false">
      <c r="A12" s="8" t="s">
        <v>59</v>
      </c>
      <c r="B12" s="25" t="n">
        <f aca="false">-in_CouncilRates</f>
        <v>-2200</v>
      </c>
    </row>
    <row r="13" customFormat="false" ht="15" hidden="false" customHeight="true" outlineLevel="0" collapsed="false">
      <c r="A13" s="8" t="s">
        <v>60</v>
      </c>
      <c r="B13" s="25" t="n">
        <f aca="false">-in_WaterRates</f>
        <v>-900</v>
      </c>
    </row>
    <row r="14" customFormat="false" ht="15" hidden="false" customHeight="true" outlineLevel="0" collapsed="false">
      <c r="A14" s="8" t="s">
        <v>61</v>
      </c>
      <c r="B14" s="25" t="n">
        <f aca="false">-in_Insurance</f>
        <v>-1300</v>
      </c>
    </row>
    <row r="15" customFormat="false" ht="15" hidden="false" customHeight="true" outlineLevel="0" collapsed="false">
      <c r="A15" s="8" t="s">
        <v>62</v>
      </c>
      <c r="B15" s="25" t="n">
        <f aca="false">-in_Repairs</f>
        <v>-2500</v>
      </c>
    </row>
    <row r="16" customFormat="false" ht="15" hidden="false" customHeight="true" outlineLevel="0" collapsed="false">
      <c r="A16" s="8" t="s">
        <v>208</v>
      </c>
      <c r="B16" s="25" t="n">
        <f aca="false">-in_BodyCorp</f>
        <v>-3500</v>
      </c>
    </row>
    <row r="17" customFormat="false" ht="15" hidden="false" customHeight="true" outlineLevel="0" collapsed="false">
      <c r="A17" s="8" t="s">
        <v>65</v>
      </c>
      <c r="B17" s="25" t="n">
        <f aca="false">-in_AgentFees</f>
        <v>-1900</v>
      </c>
    </row>
    <row r="18" customFormat="false" ht="15" hidden="false" customHeight="true" outlineLevel="0" collapsed="false">
      <c r="A18" s="8" t="s">
        <v>67</v>
      </c>
      <c r="B18" s="25" t="n">
        <f aca="false">-in_OtherOutgoings</f>
        <v>-500</v>
      </c>
    </row>
    <row r="19" customFormat="false" ht="15" hidden="false" customHeight="true" outlineLevel="0" collapsed="false">
      <c r="A19" s="8" t="s">
        <v>209</v>
      </c>
      <c r="B19" s="25" t="n">
        <f aca="false">SUM(B12:B18)</f>
        <v>-12800</v>
      </c>
    </row>
    <row r="20" customFormat="false" ht="15" hidden="false" customHeight="true" outlineLevel="0" collapsed="false">
      <c r="A20" s="1" t="s">
        <v>210</v>
      </c>
      <c r="B20" s="1" t="n">
        <f aca="false">-lt_Annual</f>
        <v>-0</v>
      </c>
    </row>
    <row r="21" customFormat="false" ht="15" hidden="false" customHeight="true" outlineLevel="0" collapsed="false">
      <c r="A21" s="8" t="s">
        <v>211</v>
      </c>
      <c r="B21" s="25" t="n">
        <f aca="false">B10 + B19 + B20</f>
        <v>24644.6153846154</v>
      </c>
    </row>
    <row r="23" customFormat="false" ht="15" hidden="false" customHeight="true" outlineLevel="0" collapsed="false">
      <c r="A23" s="8" t="s">
        <v>212</v>
      </c>
      <c r="B23" s="25" t="n">
        <f aca="false">B3 * in_InterestRate</f>
        <v>45560</v>
      </c>
    </row>
    <row r="24" customFormat="false" ht="15" hidden="false" customHeight="true" outlineLevel="0" collapsed="false">
      <c r="A24" s="8" t="s">
        <v>213</v>
      </c>
      <c r="B24" s="25" t="n">
        <f aca="false">IF(in_RepaymentType="PI", (in_PurchasePrice - in_Deposit) * (in_InterestRate/12) / (1 - (1 + in_InterestRate/12)^(-in_LoanTerm*12)) * 12 - B23, 0)</f>
        <v>7094.68300807215</v>
      </c>
    </row>
    <row r="25" customFormat="false" ht="15" hidden="false" customHeight="true" outlineLevel="0" collapsed="false">
      <c r="A25" s="8" t="s">
        <v>214</v>
      </c>
      <c r="B25" s="25" t="n">
        <f aca="false">B23 + B24</f>
        <v>52654.6830080722</v>
      </c>
    </row>
    <row r="27" customFormat="false" ht="15" hidden="false" customHeight="true" outlineLevel="0" collapsed="false">
      <c r="A27" s="8" t="s">
        <v>215</v>
      </c>
      <c r="B27" s="25" t="n">
        <f aca="false">B21 - B25</f>
        <v>-28010.0676234568</v>
      </c>
    </row>
    <row r="28" customFormat="false" ht="15" hidden="false" customHeight="true" outlineLevel="0" collapsed="false">
      <c r="A28" s="8" t="s">
        <v>216</v>
      </c>
      <c r="B28" s="25" t="n">
        <f aca="false">B27 / 52</f>
        <v>-538.655146604938</v>
      </c>
    </row>
    <row r="30" customFormat="false" ht="94.5" hidden="false" customHeight="true" outlineLevel="0" collapsed="false">
      <c r="A30" s="28" t="s">
        <v>19</v>
      </c>
      <c r="B30" s="28"/>
    </row>
  </sheetData>
  <mergeCells count="2">
    <mergeCell ref="A1:B1"/>
    <mergeCell ref="A30:B3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48"/>
    <col collapsed="false" customWidth="true" hidden="false" outlineLevel="0" max="2" min="2" style="1" width="26"/>
  </cols>
  <sheetData>
    <row r="1" customFormat="false" ht="17.25" hidden="false" customHeight="true" outlineLevel="0" collapsed="false">
      <c r="A1" s="5" t="s">
        <v>217</v>
      </c>
      <c r="B1" s="5"/>
    </row>
    <row r="3" customFormat="false" ht="15" hidden="false" customHeight="true" outlineLevel="0" collapsed="false">
      <c r="A3" s="8" t="s">
        <v>218</v>
      </c>
      <c r="B3" s="25" t="n">
        <f aca="false">MAX(0, in_PurchasePrice - in_LandValue)</f>
        <v>510000</v>
      </c>
    </row>
    <row r="4" customFormat="false" ht="15" hidden="false" customHeight="true" outlineLevel="0" collapsed="false">
      <c r="A4" s="8" t="s">
        <v>219</v>
      </c>
      <c r="B4" s="26" t="n">
        <f aca="false">rt_Div43</f>
        <v>0.025</v>
      </c>
    </row>
    <row r="5" customFormat="false" ht="15" hidden="false" customHeight="true" outlineLevel="0" collapsed="false">
      <c r="A5" s="8" t="s">
        <v>220</v>
      </c>
      <c r="B5" s="27" t="str">
        <f aca="false">IF(in_ConstructionYear &gt; 1987, "Yes", IF(AND(in_ConstructionYear &gt;= 1985, in_ConstructionYear &lt;= 1987), "Yes (4% rate)", "No"))</f>
        <v>Yes</v>
      </c>
    </row>
    <row r="6" customFormat="false" ht="15" hidden="false" customHeight="true" outlineLevel="0" collapsed="false">
      <c r="A6" s="8" t="s">
        <v>221</v>
      </c>
      <c r="B6" s="25" t="n">
        <f aca="false">IF(B5="No", 0, IF(AND(in_ConstructionYear&gt;=1985, in_ConstructionYear&lt;=1987), B3*0.04, B3*rt_Div43))</f>
        <v>12750</v>
      </c>
    </row>
    <row r="8" customFormat="false" ht="15" hidden="false" customHeight="true" outlineLevel="0" collapsed="false">
      <c r="A8" s="8" t="s">
        <v>79</v>
      </c>
      <c r="B8" s="25" t="n">
        <f aca="false">in_PlantCost</f>
        <v>18000</v>
      </c>
    </row>
    <row r="9" customFormat="false" ht="15" hidden="false" customHeight="true" outlineLevel="0" collapsed="false">
      <c r="A9" s="8" t="s">
        <v>222</v>
      </c>
      <c r="B9" s="29" t="n">
        <f aca="false">in_PlantLife</f>
        <v>10</v>
      </c>
    </row>
    <row r="10" customFormat="false" ht="15" hidden="false" customHeight="true" outlineLevel="0" collapsed="false">
      <c r="A10" s="8" t="s">
        <v>223</v>
      </c>
      <c r="B10" s="27" t="str">
        <f aca="false">IF(AND(in_PropertyType="established", IF(ISNUMBER(in_SettlementDate),in_SettlementDate,DATEVALUE(in_SettlementDate)) &gt; DATEVALUE("2017-05-09"), UPPER(in_PlantNew)&lt;&gt;"TRUE"),"Yes - second-hand plant not deductible (established, bought after 9 May 2017, not newly installed by you). Div 40 set to $0.","No - Div 40 claimable")</f>
        <v>Yes - second-hand plant not deductible (established, bought after 9 May 2017, not newly installed by you). Div 40 set to $0.</v>
      </c>
    </row>
    <row r="11" customFormat="false" ht="15" hidden="false" customHeight="true" outlineLevel="0" collapsed="false">
      <c r="A11" s="8" t="s">
        <v>224</v>
      </c>
      <c r="B11" s="25" t="n">
        <f aca="false">B8 / B9</f>
        <v>1800</v>
      </c>
    </row>
    <row r="12" customFormat="false" ht="15" hidden="false" customHeight="true" outlineLevel="0" collapsed="false">
      <c r="A12" s="8" t="s">
        <v>225</v>
      </c>
      <c r="B12" s="25" t="n">
        <f aca="false">B8 * (2 / B9)</f>
        <v>3600</v>
      </c>
    </row>
    <row r="13" customFormat="false" ht="15" hidden="false" customHeight="true" outlineLevel="0" collapsed="false">
      <c r="A13" s="8" t="s">
        <v>226</v>
      </c>
      <c r="B13" s="25" t="n">
        <f aca="false">IF(AND(in_PropertyType="established", IF(ISNUMBER(in_SettlementDate),in_SettlementDate,DATEVALUE(in_SettlementDate)) &gt; DATEVALUE("2017-05-09"), UPPER(in_PlantNew)&lt;&gt;"TRUE"), 0, IF(in_DepMethod="primeCost", B11, B12))</f>
        <v>0</v>
      </c>
    </row>
    <row r="15" customFormat="false" ht="15" hidden="false" customHeight="true" outlineLevel="0" collapsed="false">
      <c r="A15" s="8" t="s">
        <v>227</v>
      </c>
      <c r="B15" s="25" t="n">
        <f aca="false">B6 + B13</f>
        <v>12750</v>
      </c>
    </row>
    <row r="17" customFormat="false" ht="15" hidden="false" customHeight="true" outlineLevel="0" collapsed="false">
      <c r="A17" s="8" t="s">
        <v>228</v>
      </c>
      <c r="B17" s="25" t="n">
        <f aca="false">B6 * in_HoldYears</f>
        <v>127500</v>
      </c>
    </row>
    <row r="18" customFormat="false" ht="15" hidden="false" customHeight="true" outlineLevel="0" collapsed="false">
      <c r="A18" s="8" t="s">
        <v>229</v>
      </c>
      <c r="B18" s="27"/>
    </row>
    <row r="19" customFormat="false" ht="15" hidden="false" customHeight="true" outlineLevel="0" collapsed="false">
      <c r="A19" s="1" t="s">
        <v>230</v>
      </c>
    </row>
    <row r="21" customFormat="false" ht="94.5" hidden="false" customHeight="true" outlineLevel="0" collapsed="false">
      <c r="A21" s="28" t="s">
        <v>19</v>
      </c>
      <c r="B21" s="28"/>
    </row>
  </sheetData>
  <mergeCells count="2">
    <mergeCell ref="A1:B1"/>
    <mergeCell ref="A21:B2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48"/>
    <col collapsed="false" customWidth="true" hidden="false" outlineLevel="0" max="2" min="2" style="1" width="26"/>
  </cols>
  <sheetData>
    <row r="1" customFormat="false" ht="17.25" hidden="false" customHeight="true" outlineLevel="0" collapsed="false">
      <c r="A1" s="5" t="s">
        <v>231</v>
      </c>
      <c r="B1" s="5"/>
    </row>
    <row r="3" customFormat="false" ht="15" hidden="false" customHeight="true" outlineLevel="0" collapsed="false">
      <c r="A3" s="8" t="s">
        <v>33</v>
      </c>
      <c r="B3" s="30" t="n">
        <f aca="false">IF(ISNUMBER(in_SettlementDate),in_SettlementDate,DATEVALUE(in_SettlementDate))</f>
        <v>46155</v>
      </c>
    </row>
    <row r="4" customFormat="false" ht="15" hidden="false" customHeight="true" outlineLevel="0" collapsed="false">
      <c r="A4" s="8" t="s">
        <v>232</v>
      </c>
      <c r="B4" s="30" t="n">
        <f aca="false">DATEVALUE("2026-05-12")</f>
        <v>46154</v>
      </c>
    </row>
    <row r="5" customFormat="false" ht="15" hidden="false" customHeight="true" outlineLevel="0" collapsed="false">
      <c r="A5" s="8" t="s">
        <v>135</v>
      </c>
      <c r="B5" s="30" t="n">
        <f aca="false">DATEVALUE("2027-07-01")</f>
        <v>46569</v>
      </c>
    </row>
    <row r="6" customFormat="false" ht="15" hidden="false" customHeight="true" outlineLevel="0" collapsed="false">
      <c r="A6" s="8" t="s">
        <v>233</v>
      </c>
      <c r="B6" s="27" t="str">
        <f aca="false">IF(in_BuyerStatus="SMSF","SMSF (excluded from NG changes)",IF(in_PropertyType="commercial","Commercial (NG retained)",IF(OR(UPPER(in_ContractedPreAnchor)="TRUE", B3&lt;=B4),"Grandfathered",IF(B3&lt;B5,"Transition (old rules until 30 Jun 2027)",IF(OR(in_PropertyType="newBuild",in_PropertyType="offThePlan"),"New build (NG retained)","Affected established (ring-fenced)")))))</f>
        <v>Transition (old rules until 30 Jun 2027)</v>
      </c>
    </row>
    <row r="8" customFormat="false" ht="15" hidden="false" customHeight="true" outlineLevel="0" collapsed="false">
      <c r="A8" s="8" t="s">
        <v>234</v>
      </c>
      <c r="B8" s="25" t="n">
        <f aca="false">cf_NOI</f>
        <v>24644.6153846154</v>
      </c>
    </row>
    <row r="9" customFormat="false" ht="15" hidden="false" customHeight="true" outlineLevel="0" collapsed="false">
      <c r="A9" s="8" t="s">
        <v>235</v>
      </c>
      <c r="B9" s="25" t="n">
        <f aca="false">-cf_Interest</f>
        <v>-45560</v>
      </c>
    </row>
    <row r="10" customFormat="false" ht="15" hidden="false" customHeight="true" outlineLevel="0" collapsed="false">
      <c r="A10" s="8" t="s">
        <v>236</v>
      </c>
      <c r="B10" s="25" t="n">
        <f aca="false">-dep_Div43</f>
        <v>-12750</v>
      </c>
    </row>
    <row r="11" customFormat="false" ht="15" hidden="false" customHeight="true" outlineLevel="0" collapsed="false">
      <c r="A11" s="8" t="s">
        <v>237</v>
      </c>
      <c r="B11" s="25" t="n">
        <f aca="false">-dep_Div40</f>
        <v>-0</v>
      </c>
    </row>
    <row r="12" customFormat="false" ht="15" hidden="false" customHeight="true" outlineLevel="0" collapsed="false">
      <c r="A12" s="8" t="s">
        <v>238</v>
      </c>
      <c r="B12" s="25" t="n">
        <f aca="false">B8 + B9 + B10 + B11</f>
        <v>-33665.3846153846</v>
      </c>
    </row>
    <row r="14" customFormat="false" ht="15" hidden="false" customHeight="true" outlineLevel="0" collapsed="false">
      <c r="A14" s="8" t="s">
        <v>239</v>
      </c>
      <c r="B14" s="25" t="n">
        <f aca="false">in_OtherIncome</f>
        <v>110000</v>
      </c>
    </row>
    <row r="15" customFormat="false" ht="15" hidden="false" customHeight="true" outlineLevel="0" collapsed="false">
      <c r="A15" s="8" t="s">
        <v>240</v>
      </c>
      <c r="B15" s="26" t="n">
        <f aca="false">IF(in_OtherIncome&lt;=18200, 0,IF(in_OtherIncome&lt;=45000,IF(in_FY="FY25_26", rt_FY25Bracket2,IF(in_FY="FY26_27", rt_FY26Bracket2,IF(in_FY="FY27_28", rt_FY27Bracket2, rt_FY25Bracket2))),IF(in_OtherIncome&lt;=135000, rt_FY25Bracket3,IF(in_OtherIncome&lt;=190000, rt_FY25Bracket4, rt_FY25Bracket5))))</f>
        <v>0.3</v>
      </c>
    </row>
    <row r="17" customFormat="false" ht="15" hidden="false" customHeight="true" outlineLevel="0" collapsed="false">
      <c r="A17" s="8" t="s">
        <v>241</v>
      </c>
      <c r="B17" s="25" t="n">
        <f aca="false">IF(OR(in_BuyerStatus="SMSF",in_BuyerStatus="PPR"),0,IF(B12 &lt; 0, IF(B6="Affected established (ring-fenced)", 0, B36), 0))</f>
        <v>10772.9230769231</v>
      </c>
    </row>
    <row r="18" customFormat="false" ht="15" hidden="false" customHeight="true" outlineLevel="0" collapsed="false">
      <c r="A18" s="8" t="s">
        <v>242</v>
      </c>
      <c r="B18" s="25" t="n">
        <f aca="false">IF(B12 &lt; 0, IF(B6="Affected established (ring-fenced)", -B12, 0), 0)</f>
        <v>0</v>
      </c>
    </row>
    <row r="19" customFormat="false" ht="15" hidden="false" customHeight="true" outlineLevel="0" collapsed="false">
      <c r="A19" s="8" t="s">
        <v>243</v>
      </c>
      <c r="B19" s="25" t="n">
        <f aca="false">B18 * in_HoldYears</f>
        <v>0</v>
      </c>
    </row>
    <row r="21" customFormat="false" ht="15" hidden="false" customHeight="true" outlineLevel="0" collapsed="false">
      <c r="A21" s="8" t="s">
        <v>244</v>
      </c>
      <c r="B21" s="25" t="n">
        <f aca="false">cf_PreTax + B17</f>
        <v>-17237.1445465337</v>
      </c>
    </row>
    <row r="22" customFormat="false" ht="15" hidden="false" customHeight="true" outlineLevel="0" collapsed="false">
      <c r="A22" s="8" t="s">
        <v>245</v>
      </c>
      <c r="B22" s="25" t="n">
        <f aca="false">B21 / 52</f>
        <v>-331.483548971802</v>
      </c>
    </row>
    <row r="25" customFormat="false" ht="75" hidden="false" customHeight="true" outlineLevel="0" collapsed="false">
      <c r="A25" s="28" t="s">
        <v>246</v>
      </c>
      <c r="B25" s="28"/>
    </row>
    <row r="27" customFormat="false" ht="60" hidden="false" customHeight="true" outlineLevel="0" collapsed="false">
      <c r="A27" s="28" t="s">
        <v>19</v>
      </c>
      <c r="B27" s="28"/>
    </row>
    <row r="30" customFormat="false" ht="15" hidden="false" customHeight="true" outlineLevel="0" collapsed="false">
      <c r="A30" s="1" t="s">
        <v>247</v>
      </c>
    </row>
    <row r="31" customFormat="false" ht="15" hidden="false" customHeight="true" outlineLevel="0" collapsed="false">
      <c r="A31" s="1" t="s">
        <v>248</v>
      </c>
      <c r="B31" s="31" t="n">
        <f aca="false">IF(in_FY="FY25_26",rt_FY25Bracket2,IF(in_FY="FY26_27",rt_FY26Bracket2,IF(in_FY="FY27_28",rt_FY27Bracket2,rt_FY25Bracket2)))</f>
        <v>0.15</v>
      </c>
    </row>
    <row r="32" customFormat="false" ht="15" hidden="false" customHeight="true" outlineLevel="0" collapsed="false">
      <c r="A32" s="1" t="s">
        <v>249</v>
      </c>
      <c r="B32" s="15" t="n">
        <f aca="false">in_OtherIncome</f>
        <v>110000</v>
      </c>
    </row>
    <row r="33" customFormat="false" ht="15" hidden="false" customHeight="true" outlineLevel="0" collapsed="false">
      <c r="A33" s="1" t="s">
        <v>250</v>
      </c>
      <c r="B33" s="15" t="n">
        <f aca="false">MAX(0, in_OtherIncome + B12)</f>
        <v>76334.6153846154</v>
      </c>
    </row>
    <row r="34" customFormat="false" ht="15" hidden="false" customHeight="true" outlineLevel="0" collapsed="false">
      <c r="A34" s="1" t="s">
        <v>251</v>
      </c>
      <c r="B34" s="15" t="n">
        <f aca="false">MAX(0,MIN((B32),45000)-18200)*$B$31+MAX(0,MIN((B32),135000)-45000)*rt_FY25Bracket3+MAX(0,MIN((B32),190000)-135000)*rt_FY25Bracket4+MAX(0,(B32)-190000)*rt_FY25Bracket5+IF((B32)&lt;=Rates!$B$14,0,IF((B32)&lt;=Rates!$B$15,((B32)-Rates!$B$14)*0.1,(B32)*rt_MedicareLevy))</f>
        <v>25720</v>
      </c>
    </row>
    <row r="35" customFormat="false" ht="15" hidden="false" customHeight="true" outlineLevel="0" collapsed="false">
      <c r="A35" s="1" t="s">
        <v>252</v>
      </c>
      <c r="B35" s="15" t="n">
        <f aca="false">MAX(0,MIN((B33),45000)-18200)*$B$31+MAX(0,MIN((B33),135000)-45000)*rt_FY25Bracket3+MAX(0,MIN((B33),190000)-135000)*rt_FY25Bracket4+MAX(0,(B33)-190000)*rt_FY25Bracket5+IF((B33)&lt;=Rates!$B$14,0,IF((B33)&lt;=Rates!$B$15,((B33)-Rates!$B$14)*0.1,(B33)*rt_MedicareLevy))</f>
        <v>14947.0769230769</v>
      </c>
    </row>
    <row r="36" customFormat="false" ht="15" hidden="false" customHeight="true" outlineLevel="0" collapsed="false">
      <c r="A36" s="1" t="s">
        <v>253</v>
      </c>
      <c r="B36" s="15" t="n">
        <f aca="false">B34-B35</f>
        <v>10772.9230769231</v>
      </c>
    </row>
  </sheetData>
  <mergeCells count="3">
    <mergeCell ref="A1:B1"/>
    <mergeCell ref="A25:B25"/>
    <mergeCell ref="A27:B2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48"/>
    <col collapsed="false" customWidth="true" hidden="false" outlineLevel="0" max="2" min="2" style="1" width="26"/>
  </cols>
  <sheetData>
    <row r="1" customFormat="false" ht="17.25" hidden="false" customHeight="true" outlineLevel="0" collapsed="false">
      <c r="A1" s="5" t="s">
        <v>254</v>
      </c>
      <c r="B1" s="5"/>
    </row>
    <row r="3" customFormat="false" ht="15" hidden="false" customHeight="true" outlineLevel="0" collapsed="false">
      <c r="A3" s="8" t="s">
        <v>255</v>
      </c>
      <c r="B3" s="27" t="str">
        <f aca="false">in_State</f>
        <v>NSW</v>
      </c>
    </row>
    <row r="4" customFormat="false" ht="15" hidden="false" customHeight="true" outlineLevel="0" collapsed="false">
      <c r="A4" s="8" t="s">
        <v>256</v>
      </c>
      <c r="B4" s="25" t="n">
        <f aca="false">in_LandValue</f>
        <v>340000</v>
      </c>
    </row>
    <row r="5" customFormat="false" ht="15" hidden="false" customHeight="true" outlineLevel="0" collapsed="false">
      <c r="A5" s="1" t="s">
        <v>257</v>
      </c>
      <c r="B5" s="15" t="n">
        <f aca="false">IF(N(in_ACTAuv)&gt;0, in_ACTAuv, in_LandValue)</f>
        <v>340000</v>
      </c>
    </row>
    <row r="6" customFormat="false" ht="15" hidden="false" customHeight="true" outlineLevel="0" collapsed="false">
      <c r="A6" s="8" t="s">
        <v>258</v>
      </c>
      <c r="B6" s="25" t="n">
        <f aca="false">IF(in_State&lt;&gt;"NSW", 0,IF(in_LandValue&lt;=rt_NSWLandThreshold, 0,IF(in_LandValue&lt;=6571000, rt_NSWLandBase + (in_LandValue - rt_NSWLandThreshold)*rt_NSWLandRate,rt_NSWLandBase + (6571000 - rt_NSWLandThreshold)*rt_NSWLandRate + (in_LandValue - 6571000)*0.02)))</f>
        <v>0</v>
      </c>
    </row>
    <row r="7" customFormat="false" ht="15" hidden="false" customHeight="true" outlineLevel="0" collapsed="false">
      <c r="A7" s="8" t="s">
        <v>259</v>
      </c>
      <c r="B7" s="25" t="n">
        <f aca="false">IF(in_State&lt;&gt;"VIC", 0,IF(in_LandValue&lt;=50000, 0,IF(in_LandValue&lt;=100000, 500,IF(in_LandValue&lt;=300000, 975,IF(in_LandValue&lt;=600000, 1350 + (in_LandValue-300000)*0.003,IF(in_LandValue&lt;=1000000, 2250 + (in_LandValue-600000)*0.006,IF(in_LandValue&lt;=1800000, 4650 + (in_LandValue-1000000)*0.009,IF(in_LandValue&lt;=3000000, 11850 + (in_LandValue-1800000)*0.0165,31650 + (in_LandValue-3000000)*0.0265))))))))</f>
        <v>0</v>
      </c>
    </row>
    <row r="8" customFormat="false" ht="15" hidden="false" customHeight="true" outlineLevel="0" collapsed="false">
      <c r="A8" s="1" t="s">
        <v>260</v>
      </c>
      <c r="B8" s="15" t="n">
        <f aca="false">IF(in_State&lt;&gt;"QLD", 0,IF(in_LandValue&lt;=600000, 0,IF(in_LandValue&lt;=1000000, 500 + (in_LandValue-600000)*0.01,IF(in_LandValue&lt;=3000000, 4500 + (in_LandValue-1000000)*0.0165,IF(in_LandValue&lt;=5000000, 37500 + (in_LandValue-3000000)*0.0125,62500 + (in_LandValue-5000000)*0.0225)))))</f>
        <v>0</v>
      </c>
    </row>
    <row r="9" customFormat="false" ht="15" hidden="false" customHeight="true" outlineLevel="0" collapsed="false">
      <c r="A9" s="8" t="s">
        <v>261</v>
      </c>
      <c r="B9" s="25" t="n">
        <f aca="false">IF(in_State&lt;&gt;"WA", 0,IF(in_LandValue&lt;=300000, 0,IF(in_LandValue&lt;=420000, 300,IF(in_LandValue&lt;=1000000, 300+(in_LandValue-420000)*0.0025,IF(in_LandValue&lt;=1800000, 1750+(in_LandValue-1000000)*0.009,IF(in_LandValue&lt;=5000000, 8950+(in_LandValue-1800000)*0.018,IF(in_LandValue&lt;=11000000, 66550+(in_LandValue-5000000)*0.02,186550+(in_LandValue-11000000)*0.0267)))))))</f>
        <v>0</v>
      </c>
    </row>
    <row r="10" customFormat="false" ht="15" hidden="false" customHeight="true" outlineLevel="0" collapsed="false">
      <c r="A10" s="1" t="s">
        <v>262</v>
      </c>
      <c r="B10" s="15" t="n">
        <f aca="false">IF(in_State&lt;&gt;"SA", 0,IF(in_LandValue&lt;=833000, 0,IF(in_LandValue&lt;=1338000, (in_LandValue-833000)*0.005,IF(in_LandValue&lt;=1946000, 2525+(in_LandValue-1338000)*0.01,IF(in_LandValue&lt;=3116000, 8605+(in_LandValue-1946000)*0.02,32005+(in_LandValue-3116000)*0.024)))))</f>
        <v>0</v>
      </c>
    </row>
    <row r="11" customFormat="false" ht="15" hidden="false" customHeight="true" outlineLevel="0" collapsed="false">
      <c r="A11" s="8" t="s">
        <v>263</v>
      </c>
      <c r="B11" s="25" t="n">
        <f aca="false">IF(in_State&lt;&gt;"TAS", 0,IF(in_LandValue&lt;=124999, 0,IF(in_LandValue&lt;=500000, 50 + (in_LandValue-124999)*0.0045,1737.5 + (in_LandValue-500000)*0.015)))</f>
        <v>0</v>
      </c>
    </row>
    <row r="12" customFormat="false" ht="15" hidden="false" customHeight="true" outlineLevel="0" collapsed="false">
      <c r="A12" s="1" t="s">
        <v>264</v>
      </c>
      <c r="B12" s="15" t="n">
        <f aca="false">IF(in_State&lt;&gt;"ACT", 0,1693 + IF(B5&lt;=150000, B5*0.0054,IF(B5&lt;=275000, 810+(B5-150000)*0.0064,IF(B5&lt;=1000000, 1610+(B5-275000)*0.0124,IF(B5&lt;=2000000, 10600+(B5-1000000)*0.0125,23100+(B5-2000000)*0.0126)))))</f>
        <v>0</v>
      </c>
    </row>
    <row r="13" customFormat="false" ht="15" hidden="false" customHeight="true" outlineLevel="0" collapsed="false">
      <c r="A13" s="1" t="s">
        <v>265</v>
      </c>
      <c r="B13" s="15" t="n">
        <f aca="false">IF(in_State&lt;&gt;"NT", 0, 0)</f>
        <v>0</v>
      </c>
    </row>
    <row r="14" customFormat="false" ht="60" hidden="false" customHeight="true" outlineLevel="0" collapsed="false">
      <c r="A14" s="28"/>
      <c r="B14" s="28"/>
    </row>
    <row r="15" customFormat="false" ht="15" hidden="false" customHeight="true" outlineLevel="0" collapsed="false">
      <c r="A15" s="1" t="s">
        <v>266</v>
      </c>
      <c r="B15" s="15" t="n">
        <f aca="false">B6+B7+B8+B9+B10+B11+B12+B13</f>
        <v>0</v>
      </c>
    </row>
    <row r="16" customFormat="false" ht="15" hidden="false" customHeight="true" outlineLevel="0" collapsed="false">
      <c r="A16" s="1" t="s">
        <v>267</v>
      </c>
      <c r="B16" s="15" t="n">
        <f aca="false">IF(UPPER(in_IsForeign)&lt;&gt;"TRUE", 0, in_LandValue * IF(in_State="NSW", 0.05,IF(in_State="VIC", 0.04,IF(in_State="QLD", 0.03,IF(in_State="WA", 0,IF(in_State="ACT", 0.0075,IF(in_State="TAS", 0.02,IF(in_State="SA", 0.02,0))))))))</f>
        <v>0</v>
      </c>
    </row>
    <row r="18" customFormat="false" ht="15" hidden="false" customHeight="true" outlineLevel="0" collapsed="false">
      <c r="A18" s="32" t="s">
        <v>268</v>
      </c>
      <c r="B18" s="33" t="n">
        <f aca="false">B15 + B16</f>
        <v>0</v>
      </c>
    </row>
    <row r="19" customFormat="false" ht="15" hidden="false" customHeight="true" outlineLevel="0" collapsed="false">
      <c r="A19" s="1" t="s">
        <v>269</v>
      </c>
    </row>
    <row r="21" customFormat="false" ht="113.25" hidden="false" customHeight="true" outlineLevel="0" collapsed="false">
      <c r="A21" s="3" t="s">
        <v>19</v>
      </c>
    </row>
  </sheetData>
  <mergeCells count="2">
    <mergeCell ref="A1:B1"/>
    <mergeCell ref="A14:B1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48"/>
    <col collapsed="false" customWidth="true" hidden="false" outlineLevel="0" max="2" min="2" style="1" width="26"/>
  </cols>
  <sheetData>
    <row r="1" customFormat="false" ht="17.25" hidden="false" customHeight="true" outlineLevel="0" collapsed="false">
      <c r="A1" s="5" t="s">
        <v>270</v>
      </c>
      <c r="B1" s="5"/>
    </row>
    <row r="2" customFormat="false" ht="15" hidden="false" customHeight="true" outlineLevel="0" collapsed="false">
      <c r="A2" s="1" t="str">
        <f aca="false">IF(OR(in_BuyerStatus="SMSF",in_BuyerStatus="PPR"),"WARNING: buyer status '"&amp;in_BuyerStatus&amp;"' is NOT modelled - outputs below assume an individual residential investor.","")</f>
        <v/>
      </c>
    </row>
    <row r="3" customFormat="false" ht="15" hidden="false" customHeight="true" outlineLevel="0" collapsed="false">
      <c r="A3" s="8" t="s">
        <v>22</v>
      </c>
      <c r="B3" s="34" t="n">
        <f aca="false">in_PurchasePrice</f>
        <v>850000</v>
      </c>
    </row>
    <row r="4" customFormat="false" ht="15" hidden="false" customHeight="true" outlineLevel="0" collapsed="false">
      <c r="A4" s="8" t="s">
        <v>201</v>
      </c>
      <c r="B4" s="34" t="n">
        <f aca="false">cf_LoanAmount</f>
        <v>680000</v>
      </c>
    </row>
    <row r="5" customFormat="false" ht="15" hidden="false" customHeight="true" outlineLevel="0" collapsed="false">
      <c r="A5" s="8" t="s">
        <v>202</v>
      </c>
      <c r="B5" s="35" t="n">
        <f aca="false">cf_LVR</f>
        <v>0.8</v>
      </c>
    </row>
    <row r="6" customFormat="false" ht="15" hidden="false" customHeight="true" outlineLevel="0" collapsed="false">
      <c r="A6" s="8" t="s">
        <v>203</v>
      </c>
      <c r="B6" s="36" t="str">
        <f aca="false">IF(cf_LVR &gt; rt_LMITrigger, "Yes", "No")</f>
        <v>No</v>
      </c>
    </row>
    <row r="7" customFormat="false" ht="15" hidden="false" customHeight="true" outlineLevel="0" collapsed="false">
      <c r="A7" s="8"/>
      <c r="B7" s="34"/>
    </row>
    <row r="8" customFormat="false" ht="15" hidden="false" customHeight="true" outlineLevel="0" collapsed="false">
      <c r="A8" s="8" t="s">
        <v>210</v>
      </c>
      <c r="B8" s="34" t="n">
        <f aca="false">lt_Annual</f>
        <v>0</v>
      </c>
    </row>
    <row r="10" customFormat="false" ht="15" hidden="false" customHeight="true" outlineLevel="0" collapsed="false">
      <c r="A10" s="8" t="s">
        <v>271</v>
      </c>
      <c r="B10" s="36" t="str">
        <f aca="false">ng_Regime</f>
        <v>Transition (old rules until 30 Jun 2027)</v>
      </c>
    </row>
    <row r="11" customFormat="false" ht="15" hidden="false" customHeight="true" outlineLevel="0" collapsed="false">
      <c r="A11" s="8" t="s">
        <v>272</v>
      </c>
      <c r="B11" s="34" t="n">
        <f aca="false">cf_NetRent</f>
        <v>37444.6153846154</v>
      </c>
    </row>
    <row r="12" customFormat="false" ht="15" hidden="false" customHeight="true" outlineLevel="0" collapsed="false">
      <c r="A12" s="8" t="s">
        <v>273</v>
      </c>
      <c r="B12" s="34" t="n">
        <f aca="false">cf_Interest</f>
        <v>45560</v>
      </c>
    </row>
    <row r="13" customFormat="false" ht="15" hidden="false" customHeight="true" outlineLevel="0" collapsed="false">
      <c r="A13" s="8" t="s">
        <v>274</v>
      </c>
      <c r="B13" s="34" t="n">
        <f aca="false">dep_Total</f>
        <v>12750</v>
      </c>
    </row>
    <row r="14" customFormat="false" ht="15" hidden="false" customHeight="true" outlineLevel="0" collapsed="false">
      <c r="A14" s="8" t="s">
        <v>275</v>
      </c>
      <c r="B14" s="34" t="n">
        <f aca="false">ng_TaxLoss</f>
        <v>-33665.3846153846</v>
      </c>
    </row>
    <row r="15" customFormat="false" ht="15" hidden="false" customHeight="true" outlineLevel="0" collapsed="false">
      <c r="A15" s="8" t="s">
        <v>276</v>
      </c>
      <c r="B15" s="34" t="n">
        <f aca="false">ng_TaxBenefit</f>
        <v>10772.9230769231</v>
      </c>
    </row>
    <row r="16" customFormat="false" ht="15" hidden="false" customHeight="true" outlineLevel="0" collapsed="false">
      <c r="A16" s="37" t="s">
        <v>277</v>
      </c>
      <c r="B16" s="38" t="n">
        <f aca="false">ng_AfterTax</f>
        <v>-17237.1445465337</v>
      </c>
    </row>
    <row r="17" customFormat="false" ht="15" hidden="false" customHeight="true" outlineLevel="0" collapsed="false">
      <c r="A17" s="37" t="s">
        <v>278</v>
      </c>
      <c r="B17" s="38" t="n">
        <f aca="false">ng_AfterTax / 52</f>
        <v>-331.483548971802</v>
      </c>
    </row>
    <row r="19" customFormat="false" ht="15" hidden="false" customHeight="true" outlineLevel="0" collapsed="false">
      <c r="A19" s="8" t="s">
        <v>279</v>
      </c>
      <c r="B19" s="34"/>
    </row>
    <row r="20" customFormat="false" ht="15" hidden="false" customHeight="true" outlineLevel="0" collapsed="false">
      <c r="A20" s="8"/>
      <c r="B20" s="34"/>
    </row>
    <row r="21" customFormat="false" ht="15" hidden="false" customHeight="true" outlineLevel="0" collapsed="false">
      <c r="A21" s="37"/>
      <c r="B21" s="38"/>
    </row>
    <row r="22" customFormat="false" ht="15" hidden="false" customHeight="true" outlineLevel="0" collapsed="false">
      <c r="A22" s="37"/>
      <c r="B22" s="38"/>
    </row>
    <row r="23" customFormat="false" ht="15" hidden="false" customHeight="true" outlineLevel="0" collapsed="false">
      <c r="B23" s="15"/>
    </row>
    <row r="25" customFormat="false" ht="60" hidden="false" customHeight="true" outlineLevel="0" collapsed="false">
      <c r="A25" s="28" t="s">
        <v>19</v>
      </c>
      <c r="B25" s="28"/>
    </row>
  </sheetData>
  <mergeCells count="2">
    <mergeCell ref="A1:B1"/>
    <mergeCell ref="A25:B2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LibreOffice/26.2.2.2$Linux_AARCH64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2026-05-13T01:40:55Z</dcterms:created>
  <dc:creator>openpyxl</dc:creator>
  <dc:description/>
  <dc:language>en-US</dc:language>
  <cp:lastModifiedBy/>
  <dcterms:modified xsi:type="dcterms:W3CDTF">2026-06-06T01:24:14Z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